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Y:\Contratacion\DIVISIÓN MED-AMB\ASOCIACIONES\ASEJA\Grupos de trabajo\ESTUDIO ECONÓMICO\"/>
    </mc:Choice>
  </mc:AlternateContent>
  <xr:revisionPtr revIDLastSave="0" documentId="8_{99E0C355-5BF2-4CF2-9951-190F68FB39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.ResumenTiposInfraestructura" sheetId="5" r:id="rId1"/>
    <sheet name="5.ResumenElementos" sheetId="2" r:id="rId2"/>
    <sheet name="6.TipologiasConservacion" sheetId="3" r:id="rId3"/>
    <sheet name="7.CargasTrabajo" sheetId="4" r:id="rId4"/>
  </sheets>
  <definedNames>
    <definedName name="_TOC_250010" localSheetId="2">'6.TipologiasConservacion'!$B$1</definedName>
    <definedName name="_TOC_250011" localSheetId="0">'4.ResumenTiposInfraestructura'!$B$1</definedName>
    <definedName name="_TOC_250011" localSheetId="1">'5.ResumenElementos'!$B$1</definedName>
    <definedName name="_xlnm.Print_Area" localSheetId="0">'4.ResumenTiposInfraestructura'!$B$1:$N$42</definedName>
    <definedName name="_xlnm.Print_Area" localSheetId="1">'5.ResumenElementos'!$B$1:$E$40</definedName>
    <definedName name="_xlnm.Print_Area" localSheetId="2">'6.TipologiasConservacion'!$B$1:$J$17</definedName>
    <definedName name="_xlnm.Print_Area" localSheetId="3">'7.CargasTrabajo'!$B$1:$R$37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4" l="1"/>
  <c r="C35" i="4"/>
  <c r="D33" i="4"/>
  <c r="E33" i="4" s="1"/>
  <c r="E35" i="4" s="1"/>
  <c r="D32" i="4"/>
  <c r="E32" i="4" s="1"/>
  <c r="F28" i="4"/>
  <c r="H28" i="4" s="1"/>
  <c r="H27" i="4"/>
  <c r="F27" i="4"/>
  <c r="G27" i="4" s="1"/>
  <c r="H26" i="4"/>
  <c r="G26" i="4"/>
  <c r="F26" i="4"/>
  <c r="F25" i="4"/>
  <c r="O17" i="4"/>
  <c r="K17" i="4"/>
  <c r="K20" i="4" s="1"/>
  <c r="C15" i="4"/>
  <c r="E15" i="4" s="1"/>
  <c r="E14" i="4"/>
  <c r="C7" i="4"/>
  <c r="H17" i="3"/>
  <c r="G17" i="3"/>
  <c r="F17" i="3"/>
  <c r="C17" i="3"/>
  <c r="J16" i="3"/>
  <c r="C16" i="4" s="1"/>
  <c r="J15" i="3"/>
  <c r="J14" i="3"/>
  <c r="C14" i="4" s="1"/>
  <c r="J13" i="3"/>
  <c r="C13" i="4" s="1"/>
  <c r="I12" i="3"/>
  <c r="I17" i="3" s="1"/>
  <c r="E12" i="3"/>
  <c r="J11" i="3"/>
  <c r="C11" i="4" s="1"/>
  <c r="E11" i="4" s="1"/>
  <c r="D11" i="3"/>
  <c r="C11" i="3"/>
  <c r="D10" i="3"/>
  <c r="J10" i="3" s="1"/>
  <c r="C10" i="4" s="1"/>
  <c r="E10" i="4" s="1"/>
  <c r="J9" i="3"/>
  <c r="C9" i="4" s="1"/>
  <c r="E9" i="4" s="1"/>
  <c r="J8" i="3"/>
  <c r="C8" i="4" s="1"/>
  <c r="E8" i="4" s="1"/>
  <c r="J7" i="3"/>
  <c r="D36" i="2"/>
  <c r="D35" i="2"/>
  <c r="D32" i="2"/>
  <c r="D31" i="2"/>
  <c r="D28" i="2"/>
  <c r="D26" i="2"/>
  <c r="D23" i="2"/>
  <c r="D22" i="2"/>
  <c r="D19" i="2"/>
  <c r="D14" i="2"/>
  <c r="D13" i="2"/>
  <c r="D10" i="2"/>
  <c r="D9" i="2"/>
  <c r="D6" i="2"/>
  <c r="N42" i="5"/>
  <c r="H41" i="5"/>
  <c r="N41" i="5" s="1"/>
  <c r="D40" i="2" s="1"/>
  <c r="N39" i="5"/>
  <c r="D38" i="2" s="1"/>
  <c r="N38" i="5"/>
  <c r="D37" i="2" s="1"/>
  <c r="N37" i="5"/>
  <c r="N36" i="5"/>
  <c r="N35" i="5"/>
  <c r="D34" i="2" s="1"/>
  <c r="N34" i="5"/>
  <c r="D33" i="2" s="1"/>
  <c r="N33" i="5"/>
  <c r="N32" i="5"/>
  <c r="N31" i="5"/>
  <c r="D30" i="2" s="1"/>
  <c r="N30" i="5"/>
  <c r="D29" i="2" s="1"/>
  <c r="N29" i="5"/>
  <c r="N27" i="5"/>
  <c r="N26" i="5"/>
  <c r="D25" i="2" s="1"/>
  <c r="N25" i="5"/>
  <c r="D24" i="2" s="1"/>
  <c r="N24" i="5"/>
  <c r="N23" i="5"/>
  <c r="N22" i="5"/>
  <c r="D21" i="2" s="1"/>
  <c r="N21" i="5"/>
  <c r="D20" i="2" s="1"/>
  <c r="N20" i="5"/>
  <c r="K18" i="5"/>
  <c r="J18" i="5"/>
  <c r="I18" i="5"/>
  <c r="H18" i="5"/>
  <c r="G18" i="5"/>
  <c r="F18" i="5"/>
  <c r="E18" i="5"/>
  <c r="D18" i="5"/>
  <c r="N17" i="5"/>
  <c r="D16" i="2" s="1"/>
  <c r="N16" i="5"/>
  <c r="D15" i="2" s="1"/>
  <c r="N15" i="5"/>
  <c r="N14" i="5"/>
  <c r="N13" i="5"/>
  <c r="D12" i="2" s="1"/>
  <c r="N12" i="5"/>
  <c r="D11" i="2" s="1"/>
  <c r="N11" i="5"/>
  <c r="N10" i="5"/>
  <c r="N9" i="5"/>
  <c r="D8" i="2" s="1"/>
  <c r="N8" i="5"/>
  <c r="D7" i="2" s="1"/>
  <c r="N7" i="5"/>
  <c r="G8" i="4" l="1"/>
  <c r="F8" i="4"/>
  <c r="I8" i="4" s="1"/>
  <c r="M13" i="4"/>
  <c r="R13" i="4"/>
  <c r="Q13" i="4"/>
  <c r="E13" i="4"/>
  <c r="P13" i="4"/>
  <c r="F9" i="4"/>
  <c r="I9" i="4" s="1"/>
  <c r="H10" i="4"/>
  <c r="F10" i="4"/>
  <c r="I10" i="4" s="1"/>
  <c r="H14" i="4"/>
  <c r="G14" i="4"/>
  <c r="F14" i="4"/>
  <c r="I14" i="4" s="1"/>
  <c r="N18" i="5"/>
  <c r="D17" i="2" s="1"/>
  <c r="D17" i="3"/>
  <c r="M7" i="4"/>
  <c r="R7" i="4"/>
  <c r="R17" i="4" s="1"/>
  <c r="P7" i="4"/>
  <c r="P17" i="4" s="1"/>
  <c r="H25" i="4"/>
  <c r="G25" i="4"/>
  <c r="J12" i="3"/>
  <c r="C12" i="4" s="1"/>
  <c r="E12" i="4" s="1"/>
  <c r="E17" i="3"/>
  <c r="E7" i="4"/>
  <c r="Q7" i="4"/>
  <c r="Q17" i="4" s="1"/>
  <c r="F11" i="4"/>
  <c r="I11" i="4" s="1"/>
  <c r="G28" i="4"/>
  <c r="L8" i="4" l="1"/>
  <c r="L17" i="4" s="1"/>
  <c r="J8" i="4"/>
  <c r="H12" i="4"/>
  <c r="G12" i="4"/>
  <c r="F12" i="4"/>
  <c r="I12" i="4" s="1"/>
  <c r="G11" i="4"/>
  <c r="J11" i="4" s="1"/>
  <c r="J17" i="3"/>
  <c r="C17" i="4" s="1"/>
  <c r="H11" i="4"/>
  <c r="N11" i="4" s="1"/>
  <c r="N17" i="4" s="1"/>
  <c r="F13" i="4"/>
  <c r="I13" i="4" s="1"/>
  <c r="H13" i="4"/>
  <c r="G7" i="4"/>
  <c r="F7" i="4"/>
  <c r="E17" i="4"/>
  <c r="H7" i="4"/>
  <c r="G9" i="4"/>
  <c r="J9" i="4" s="1"/>
  <c r="G10" i="4"/>
  <c r="H9" i="4"/>
  <c r="H8" i="4"/>
  <c r="M10" i="4" l="1"/>
  <c r="M17" i="4" s="1"/>
  <c r="J10" i="4"/>
  <c r="J7" i="4"/>
  <c r="H17" i="4"/>
  <c r="F17" i="4"/>
  <c r="I7" i="4"/>
  <c r="I17" i="4" s="1"/>
  <c r="G13" i="4"/>
  <c r="J13" i="4" s="1"/>
  <c r="J17" i="4" l="1"/>
  <c r="G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Blázquez</author>
  </authors>
  <commentList>
    <comment ref="C14" authorId="0" shapeId="0" xr:uid="{00000000-0006-0000-0000-000001000000}">
      <text>
        <r>
          <rPr>
            <sz val="9"/>
            <rFont val="Tahoma"/>
            <charset val="134"/>
          </rPr>
          <t>ml: metro lineal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Blázquez</author>
  </authors>
  <commentList>
    <comment ref="C13" authorId="0" shapeId="0" xr:uid="{00000000-0006-0000-0100-000001000000}">
      <text>
        <r>
          <rPr>
            <sz val="9"/>
            <rFont val="Tahoma"/>
            <charset val="134"/>
          </rPr>
          <t>ml: metro lineal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Blázquez</author>
  </authors>
  <commentList>
    <comment ref="I12" authorId="0" shapeId="0" xr:uid="{00000000-0006-0000-0200-000001000000}">
      <text>
        <r>
          <rPr>
            <b/>
            <sz val="9"/>
            <rFont val="Tahoma"/>
            <charset val="134"/>
          </rPr>
          <t>María Blázquez:</t>
        </r>
        <r>
          <rPr>
            <sz val="9"/>
            <rFont val="Tahoma"/>
            <charset val="134"/>
          </rPr>
          <t xml:space="preserve">
Incluye aceras
</t>
        </r>
      </text>
    </comment>
  </commentList>
</comments>
</file>

<file path=xl/sharedStrings.xml><?xml version="1.0" encoding="utf-8"?>
<sst xmlns="http://schemas.openxmlformats.org/spreadsheetml/2006/main" count="238" uniqueCount="105">
  <si>
    <t>Tabla 4. RESUMEN POR TIPOS DE INFRAESTRUCTURA</t>
  </si>
  <si>
    <t>INVENTARIO – RESUMEN POR ELEMENTOS</t>
  </si>
  <si>
    <t>Elemento</t>
  </si>
  <si>
    <t>Unidad</t>
  </si>
  <si>
    <t>TIPOLOGÍAS DE INFRAESTRUCTURA VERDE</t>
  </si>
  <si>
    <t>TOTAL POR ELEMENTOS</t>
  </si>
  <si>
    <t>Parque Urbano &lt;2 Ha</t>
  </si>
  <si>
    <t>Parque Urbano &gt;2 Ha</t>
  </si>
  <si>
    <t>Jardines urbanos &lt;1 Ha</t>
  </si>
  <si>
    <t>Parque  Histórico</t>
  </si>
  <si>
    <t>Parques periurbanos</t>
  </si>
  <si>
    <t>Calles verdes</t>
  </si>
  <si>
    <t>Jardines en equipamiento público</t>
  </si>
  <si>
    <t>Zonas verdes deportivas</t>
  </si>
  <si>
    <t>Jardín vertical</t>
  </si>
  <si>
    <t>Otras</t>
  </si>
  <si>
    <t>Elementos vegetales</t>
  </si>
  <si>
    <t>Árboles</t>
  </si>
  <si>
    <t>UD</t>
  </si>
  <si>
    <t>Plantaciones</t>
  </si>
  <si>
    <r>
      <rPr>
        <sz val="10"/>
        <color rgb="FF231F20"/>
        <rFont val="Arial"/>
        <charset val="134"/>
      </rPr>
      <t>m</t>
    </r>
    <r>
      <rPr>
        <sz val="5.5"/>
        <color rgb="FF231F20"/>
        <rFont val="Arial"/>
        <charset val="134"/>
      </rPr>
      <t>2</t>
    </r>
  </si>
  <si>
    <t>Césped</t>
  </si>
  <si>
    <t>Praderas</t>
  </si>
  <si>
    <t>Macizos</t>
  </si>
  <si>
    <t>Arbustos</t>
  </si>
  <si>
    <t>Flores</t>
  </si>
  <si>
    <t>Setos, cierres</t>
  </si>
  <si>
    <t>ml</t>
  </si>
  <si>
    <t>Masas forestales</t>
  </si>
  <si>
    <t>Otros (tapizantes)</t>
  </si>
  <si>
    <t>Otros (terrizos)</t>
  </si>
  <si>
    <t>Otros</t>
  </si>
  <si>
    <r>
      <rPr>
        <i/>
        <sz val="10"/>
        <color rgb="FF231F20"/>
        <rFont val="Calibri"/>
        <charset val="134"/>
      </rPr>
      <t>Elementos no vegetales de</t>
    </r>
    <r>
      <rPr>
        <i/>
        <sz val="10"/>
        <color rgb="FF231F20"/>
        <rFont val="Calibri"/>
        <charset val="134"/>
      </rPr>
      <t xml:space="preserve"> Inmuebles y obra civil</t>
    </r>
  </si>
  <si>
    <t>Red de riego</t>
  </si>
  <si>
    <t>Instalaciones, casetas</t>
  </si>
  <si>
    <t>Caminos, paseos</t>
  </si>
  <si>
    <t>Pavimentos</t>
  </si>
  <si>
    <t>Estanques</t>
  </si>
  <si>
    <t>Áreas Infantiles</t>
  </si>
  <si>
    <t>Obra civil en zonas deportivas, juegos infantiles y áreas de mayores</t>
  </si>
  <si>
    <t>Elementos no vegetales de Mobiliario</t>
  </si>
  <si>
    <t>Bancos</t>
  </si>
  <si>
    <t>Mesas</t>
  </si>
  <si>
    <t>Vallas, cierres</t>
  </si>
  <si>
    <t>Papeleras</t>
  </si>
  <si>
    <t>Maceteros, jardineras</t>
  </si>
  <si>
    <t>Señales</t>
  </si>
  <si>
    <t>Fuentes</t>
  </si>
  <si>
    <t>Monumentos</t>
  </si>
  <si>
    <t>Mobiliario deportivo</t>
  </si>
  <si>
    <t>Juegos infantiles</t>
  </si>
  <si>
    <t>Espacios y elementos objeto de limpieza complementaria o adicional</t>
  </si>
  <si>
    <t>Superficie</t>
  </si>
  <si>
    <t>TOTAL SUPERFICIE POR TIPOLOGÍAS</t>
  </si>
  <si>
    <t>Tabla 5. RESUMEN POR ELEMENTOS</t>
  </si>
  <si>
    <t>Sumas totales</t>
  </si>
  <si>
    <t>Notas / Observaciones / Estado de conservación</t>
  </si>
  <si>
    <t>Tabla 6. TIPOLOGÍAS DE CONSERVACIÓN</t>
  </si>
  <si>
    <t>Tipología</t>
  </si>
  <si>
    <t>Zonas deportivas</t>
  </si>
  <si>
    <t>Área de juegos infantiles</t>
  </si>
  <si>
    <t>Áreas de mayores</t>
  </si>
  <si>
    <t>Superficie arbolado</t>
  </si>
  <si>
    <t>Superficie ajardinada</t>
  </si>
  <si>
    <t>TOTAL</t>
  </si>
  <si>
    <r>
      <rPr>
        <sz val="9"/>
        <color rgb="FFFFFFFF"/>
        <rFont val="Arial"/>
        <charset val="134"/>
      </rPr>
      <t>m</t>
    </r>
    <r>
      <rPr>
        <sz val="5"/>
        <color rgb="FFFFFFFF"/>
        <rFont val="Arial"/>
        <charset val="134"/>
      </rPr>
      <t>2</t>
    </r>
  </si>
  <si>
    <t>Jardines Urbanos &lt;1 Ha</t>
  </si>
  <si>
    <t>Tabla 7. RESUMEN POR CARGAS DE TRABAJO</t>
  </si>
  <si>
    <t>Superficie (m2)</t>
  </si>
  <si>
    <r>
      <rPr>
        <b/>
        <sz val="11"/>
        <color theme="0"/>
        <rFont val="Arial"/>
        <charset val="134"/>
      </rPr>
      <t xml:space="preserve">UTO/Ha </t>
    </r>
    <r>
      <rPr>
        <sz val="8"/>
        <color theme="0"/>
        <rFont val="Arial"/>
        <charset val="134"/>
      </rPr>
      <t>(UTO: Unidad Técnica Operario)</t>
    </r>
  </si>
  <si>
    <t>Nº Operarios</t>
  </si>
  <si>
    <t>CATEGORIAS PROFESIONALES</t>
  </si>
  <si>
    <t>VEHÍCULOS</t>
  </si>
  <si>
    <t>MAQUINARIA</t>
  </si>
  <si>
    <t>TÉCNICO- ENCARGADO</t>
  </si>
  <si>
    <t>OFICIAL- JARDINERO</t>
  </si>
  <si>
    <t>VEHÍCULO LIGERO</t>
  </si>
  <si>
    <t>VEHÍCULO TRANSPORTE MATERIAL</t>
  </si>
  <si>
    <t>PLATAFORMA</t>
  </si>
  <si>
    <t>EQUIPO RIEGO</t>
  </si>
  <si>
    <t>MAQUINARIA DESBROCE</t>
  </si>
  <si>
    <t>MAQUINARIA PODA</t>
  </si>
  <si>
    <t>MAQUINARIA SIEGA</t>
  </si>
  <si>
    <t>MAQUINARIA MOV. TIERRA</t>
  </si>
  <si>
    <t>MAQUINARIA OBRA CIVIL</t>
  </si>
  <si>
    <t xml:space="preserve">Calles verdes </t>
  </si>
  <si>
    <t>Cálculo de nº de plazas para desplazamiento del personal</t>
  </si>
  <si>
    <t>nº plazas/vehículo</t>
  </si>
  <si>
    <t>nº plazas</t>
  </si>
  <si>
    <t>CONFIGURACIÓN CUADRILLAS DE TRABAJO</t>
  </si>
  <si>
    <t>EQUIPO</t>
  </si>
  <si>
    <t>ZONA VERDE URBANA</t>
  </si>
  <si>
    <t>PARQUE HISTÓRICO</t>
  </si>
  <si>
    <t>ZONA VERDE PERIURBANA-FORESTAL</t>
  </si>
  <si>
    <t>CALLE VERDE</t>
  </si>
  <si>
    <t>Reparto personal brigada arbolado por tipo arbolado</t>
  </si>
  <si>
    <t>CALLES VERDES</t>
  </si>
  <si>
    <t>ARBOLADO</t>
  </si>
  <si>
    <t>JOVEN</t>
  </si>
  <si>
    <t>CONSOLIDADO</t>
  </si>
  <si>
    <t>SUPERFICIE</t>
  </si>
  <si>
    <t>UTO/Ha</t>
  </si>
  <si>
    <t>Medios por tipología de arbolado</t>
  </si>
  <si>
    <t>AUXILIAR- PEÓN</t>
  </si>
  <si>
    <t>CAMIÓN MULTIUSO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</si>
</sst>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#,##0.0"/>
  </numFmts>
  <fonts count="31">
    <font>
      <sz val="11"/>
      <color theme="1"/>
      <name val="Calibri"/>
      <charset val="134"/>
      <scheme val="minor"/>
    </font>
    <font>
      <b/>
      <sz val="10"/>
      <color rgb="FF568543"/>
      <name val="Arial"/>
      <charset val="134"/>
    </font>
    <font>
      <b/>
      <sz val="11"/>
      <color rgb="FFFFFFFF"/>
      <name val="Arial"/>
      <charset val="134"/>
    </font>
    <font>
      <b/>
      <sz val="11"/>
      <color theme="0"/>
      <name val="Arial"/>
      <charset val="134"/>
    </font>
    <font>
      <b/>
      <sz val="9"/>
      <color theme="0"/>
      <name val="Arial"/>
      <charset val="134"/>
    </font>
    <font>
      <sz val="9"/>
      <color rgb="FF231F20"/>
      <name val="Arial"/>
      <charset val="134"/>
    </font>
    <font>
      <sz val="9"/>
      <color theme="1"/>
      <name val="Arial"/>
      <charset val="134"/>
    </font>
    <font>
      <sz val="9"/>
      <color theme="1" tint="0.249977111117893"/>
      <name val="Arial"/>
      <charset val="134"/>
    </font>
    <font>
      <b/>
      <sz val="9"/>
      <color rgb="FF231F20"/>
      <name val="Arial"/>
      <charset val="134"/>
    </font>
    <font>
      <b/>
      <sz val="9"/>
      <name val="Arial"/>
      <charset val="134"/>
    </font>
    <font>
      <sz val="11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9"/>
      <color rgb="FFFFFFFF"/>
      <name val="Arial"/>
      <charset val="134"/>
    </font>
    <font>
      <b/>
      <sz val="12.5"/>
      <color theme="1"/>
      <name val="Arial"/>
      <charset val="134"/>
    </font>
    <font>
      <b/>
      <sz val="16.5"/>
      <color theme="1"/>
      <name val="Arial"/>
      <charset val="134"/>
    </font>
    <font>
      <sz val="9"/>
      <color rgb="FFFFFFFF"/>
      <name val="Arial"/>
      <charset val="134"/>
    </font>
    <font>
      <b/>
      <sz val="14"/>
      <color theme="1"/>
      <name val="Arial"/>
      <charset val="134"/>
    </font>
    <font>
      <b/>
      <sz val="13"/>
      <color theme="1"/>
      <name val="Arial"/>
      <charset val="134"/>
    </font>
    <font>
      <sz val="9"/>
      <color theme="1"/>
      <name val="Times New Roman"/>
      <charset val="134"/>
    </font>
    <font>
      <sz val="9"/>
      <color theme="0"/>
      <name val="Arial"/>
      <charset val="134"/>
    </font>
    <font>
      <i/>
      <sz val="10"/>
      <color rgb="FF231F20"/>
      <name val="Calibri"/>
      <charset val="134"/>
    </font>
    <font>
      <sz val="10"/>
      <color rgb="FF231F20"/>
      <name val="Arial"/>
      <charset val="134"/>
    </font>
    <font>
      <sz val="10"/>
      <color theme="1"/>
      <name val="Arial"/>
      <charset val="134"/>
    </font>
    <font>
      <sz val="10"/>
      <color theme="1"/>
      <name val="Times New Roman"/>
      <charset val="134"/>
    </font>
    <font>
      <sz val="8"/>
      <color rgb="FF231F20"/>
      <name val="Arial"/>
      <charset val="134"/>
    </font>
    <font>
      <b/>
      <sz val="10"/>
      <color theme="0"/>
      <name val="Arial"/>
      <charset val="134"/>
    </font>
    <font>
      <sz val="8"/>
      <color theme="0"/>
      <name val="Arial"/>
      <charset val="134"/>
    </font>
    <font>
      <sz val="5"/>
      <color rgb="FFFFFFFF"/>
      <name val="Arial"/>
      <charset val="134"/>
    </font>
    <font>
      <sz val="5.5"/>
      <color rgb="FF231F20"/>
      <name val="Arial"/>
      <charset val="134"/>
    </font>
    <font>
      <b/>
      <sz val="9"/>
      <name val="Tahoma"/>
      <charset val="134"/>
    </font>
    <font>
      <sz val="9"/>
      <name val="Tahoma"/>
      <charset val="134"/>
    </font>
  </fonts>
  <fills count="10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4DF9B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DAEBC1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rgb="FF8DC63F"/>
      </left>
      <right style="thin">
        <color theme="0"/>
      </right>
      <top style="medium">
        <color rgb="FF8DC63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8DC63F"/>
      </top>
      <bottom style="thin">
        <color theme="0"/>
      </bottom>
      <diagonal/>
    </border>
    <border>
      <left style="thin">
        <color theme="0"/>
      </left>
      <right/>
      <top style="medium">
        <color rgb="FF8DC63F"/>
      </top>
      <bottom style="thin">
        <color theme="0"/>
      </bottom>
      <diagonal/>
    </border>
    <border>
      <left style="thin">
        <color theme="0"/>
      </left>
      <right/>
      <top style="medium">
        <color rgb="FF8DC63F"/>
      </top>
      <bottom/>
      <diagonal/>
    </border>
    <border>
      <left/>
      <right/>
      <top style="medium">
        <color rgb="FF8DC63F"/>
      </top>
      <bottom/>
      <diagonal/>
    </border>
    <border>
      <left/>
      <right style="thin">
        <color theme="0"/>
      </right>
      <top style="medium">
        <color rgb="FF8DC63F"/>
      </top>
      <bottom/>
      <diagonal/>
    </border>
    <border>
      <left style="medium">
        <color rgb="FF8DC63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rgb="FF8DC63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8DC63F"/>
      </right>
      <top style="thin">
        <color theme="0"/>
      </top>
      <bottom/>
      <diagonal/>
    </border>
    <border>
      <left style="medium">
        <color rgb="FF8DC63F"/>
      </left>
      <right style="medium">
        <color rgb="FF92D050"/>
      </right>
      <top style="medium">
        <color rgb="FF8DC63F"/>
      </top>
      <bottom style="medium">
        <color rgb="FF8DC63F"/>
      </bottom>
      <diagonal/>
    </border>
    <border>
      <left style="medium">
        <color rgb="FF92D050"/>
      </left>
      <right style="medium">
        <color rgb="FF92D050"/>
      </right>
      <top style="medium">
        <color rgb="FF8DC63F"/>
      </top>
      <bottom style="medium">
        <color rgb="FF8DC63F"/>
      </bottom>
      <diagonal/>
    </border>
    <border>
      <left style="medium">
        <color rgb="FF92D050"/>
      </left>
      <right style="medium">
        <color rgb="FF8DC63F"/>
      </right>
      <top style="medium">
        <color rgb="FF8DC63F"/>
      </top>
      <bottom style="medium">
        <color rgb="FF8DC63F"/>
      </bottom>
      <diagonal/>
    </border>
    <border>
      <left style="medium">
        <color rgb="FF8DC63F"/>
      </left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medium">
        <color rgb="FF8DC63F"/>
      </right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thin">
        <color rgb="FF8DC63F"/>
      </right>
      <top/>
      <bottom style="thin">
        <color rgb="FF8DC63F"/>
      </bottom>
      <diagonal/>
    </border>
    <border>
      <left style="thin">
        <color rgb="FF8DC63F"/>
      </left>
      <right style="medium">
        <color rgb="FF8DC63F"/>
      </right>
      <top/>
      <bottom style="thin">
        <color rgb="FF8DC63F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/>
      <diagonal/>
    </border>
    <border>
      <left style="thin">
        <color rgb="FF8DC63F"/>
      </left>
      <right style="medium">
        <color rgb="FF8DC63F"/>
      </right>
      <top style="thin">
        <color rgb="FF8DC63F"/>
      </top>
      <bottom/>
      <diagonal/>
    </border>
    <border>
      <left style="medium">
        <color rgb="FF8DC63F"/>
      </left>
      <right style="thin">
        <color theme="0"/>
      </right>
      <top/>
      <bottom style="medium">
        <color rgb="FF8DC6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DC63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8DC63F"/>
      </left>
      <right/>
      <top style="medium">
        <color rgb="FF8DC63F"/>
      </top>
      <bottom style="thin">
        <color rgb="FF8DC63F"/>
      </bottom>
      <diagonal/>
    </border>
    <border>
      <left/>
      <right/>
      <top style="medium">
        <color rgb="FF8DC63F"/>
      </top>
      <bottom style="thin">
        <color rgb="FF8DC63F"/>
      </bottom>
      <diagonal/>
    </border>
    <border>
      <left/>
      <right style="medium">
        <color rgb="FF8DC63F"/>
      </right>
      <top style="medium">
        <color rgb="FF8DC63F"/>
      </top>
      <bottom style="thin">
        <color rgb="FF8DC63F"/>
      </bottom>
      <diagonal/>
    </border>
    <border>
      <left style="medium">
        <color rgb="FF8DC63F"/>
      </left>
      <right/>
      <top/>
      <bottom style="medium">
        <color rgb="FF92D050"/>
      </bottom>
      <diagonal/>
    </border>
    <border>
      <left style="medium">
        <color rgb="FF8DC63F"/>
      </left>
      <right style="medium">
        <color rgb="FF92D050"/>
      </right>
      <top style="medium">
        <color rgb="FF8DC63F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8DC63F"/>
      </top>
      <bottom style="medium">
        <color rgb="FF92D050"/>
      </bottom>
      <diagonal/>
    </border>
    <border>
      <left style="medium">
        <color rgb="FF92D050"/>
      </left>
      <right style="medium">
        <color rgb="FF8DC63F"/>
      </right>
      <top style="medium">
        <color rgb="FF8DC63F"/>
      </top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8DC63F"/>
      </right>
      <top/>
      <bottom style="medium">
        <color rgb="FF92D050"/>
      </bottom>
      <diagonal/>
    </border>
    <border>
      <left style="medium">
        <color rgb="FF8DC63F"/>
      </left>
      <right/>
      <top style="thin">
        <color rgb="FF8DC63F"/>
      </top>
      <bottom style="thin">
        <color rgb="FF8DC63F"/>
      </bottom>
      <diagonal/>
    </border>
    <border>
      <left/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medium">
        <color rgb="FF8DC63F"/>
      </left>
      <right/>
      <top style="thin">
        <color rgb="FF8DC63F"/>
      </top>
      <bottom style="medium">
        <color rgb="FF8DC63F"/>
      </bottom>
      <diagonal/>
    </border>
    <border>
      <left style="medium">
        <color rgb="FF8DC63F"/>
      </left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 style="thin">
        <color rgb="FF8DC63F"/>
      </top>
      <bottom style="medium">
        <color rgb="FF8DC63F"/>
      </bottom>
      <diagonal/>
    </border>
    <border>
      <left/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/>
      <right/>
      <top/>
      <bottom style="medium">
        <color rgb="FF8DC63F"/>
      </bottom>
      <diagonal/>
    </border>
    <border>
      <left style="medium">
        <color rgb="FF8DC63F"/>
      </left>
      <right/>
      <top style="medium">
        <color rgb="FF8DC63F"/>
      </top>
      <bottom style="medium">
        <color rgb="FF92D050"/>
      </bottom>
      <diagonal/>
    </border>
    <border>
      <left style="medium">
        <color rgb="FF8DC63F"/>
      </left>
      <right/>
      <top/>
      <bottom style="medium">
        <color rgb="FF8DC63F"/>
      </bottom>
      <diagonal/>
    </border>
    <border>
      <left/>
      <right style="medium">
        <color rgb="FF8DC63F"/>
      </right>
      <top style="medium">
        <color rgb="FF8DC63F"/>
      </top>
      <bottom/>
      <diagonal/>
    </border>
    <border>
      <left/>
      <right style="medium">
        <color rgb="FF8DC63F"/>
      </right>
      <top/>
      <bottom/>
      <diagonal/>
    </border>
    <border>
      <left style="thin">
        <color theme="0"/>
      </left>
      <right style="medium">
        <color rgb="FF8DC63F"/>
      </right>
      <top style="thin">
        <color theme="0"/>
      </top>
      <bottom style="medium">
        <color rgb="FF8DC63F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8DC63F"/>
      </right>
      <top/>
      <bottom style="medium">
        <color rgb="FF8DC63F"/>
      </bottom>
      <diagonal/>
    </border>
    <border>
      <left style="mediumDashed">
        <color rgb="FF8DC63F"/>
      </left>
      <right style="medium">
        <color rgb="FF8DC63F"/>
      </right>
      <top/>
      <bottom style="medium">
        <color rgb="FF8DC63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8DC63F"/>
      </left>
      <right/>
      <top style="medium">
        <color rgb="FF8DC63F"/>
      </top>
      <bottom/>
      <diagonal/>
    </border>
    <border>
      <left style="medium">
        <color rgb="FF8DC63F"/>
      </left>
      <right/>
      <top/>
      <bottom/>
      <diagonal/>
    </border>
    <border>
      <left style="medium">
        <color rgb="FF8DC63F"/>
      </left>
      <right/>
      <top style="medium">
        <color rgb="FF8DC63F"/>
      </top>
      <bottom style="medium">
        <color theme="0"/>
      </bottom>
      <diagonal/>
    </border>
    <border>
      <left/>
      <right/>
      <top style="medium">
        <color rgb="FF8DC63F"/>
      </top>
      <bottom style="medium">
        <color theme="0"/>
      </bottom>
      <diagonal/>
    </border>
    <border>
      <left style="medium">
        <color rgb="FF8DC63F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rgb="FF8DC63F"/>
      </bottom>
      <diagonal/>
    </border>
    <border>
      <left/>
      <right/>
      <top style="medium">
        <color theme="0"/>
      </top>
      <bottom style="medium">
        <color rgb="FF8DC63F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8DC63F"/>
      </right>
      <top style="medium">
        <color rgb="FF8DC63F"/>
      </top>
      <bottom/>
      <diagonal/>
    </border>
    <border>
      <left style="medium">
        <color rgb="FF8DC63F"/>
      </left>
      <right style="medium">
        <color rgb="FF8DC63F"/>
      </right>
      <top style="medium">
        <color rgb="FF8DC63F"/>
      </top>
      <bottom/>
      <diagonal/>
    </border>
    <border>
      <left style="medium">
        <color rgb="FF8DC63F"/>
      </left>
      <right/>
      <top style="medium">
        <color rgb="FF8DC63F"/>
      </top>
      <bottom style="medium">
        <color rgb="FF8DC63F"/>
      </bottom>
      <diagonal/>
    </border>
    <border>
      <left/>
      <right/>
      <top style="medium">
        <color rgb="FF8DC63F"/>
      </top>
      <bottom style="medium">
        <color rgb="FF8DC63F"/>
      </bottom>
      <diagonal/>
    </border>
    <border>
      <left style="medium">
        <color rgb="FF8DC63F"/>
      </left>
      <right style="thin">
        <color rgb="FF8DC63F"/>
      </right>
      <top/>
      <bottom style="thin">
        <color rgb="FF8DC63F"/>
      </bottom>
      <diagonal/>
    </border>
    <border>
      <left/>
      <right style="thin">
        <color rgb="FF8DC63F"/>
      </right>
      <top/>
      <bottom style="thin">
        <color rgb="FF8DC63F"/>
      </bottom>
      <diagonal/>
    </border>
    <border>
      <left style="medium">
        <color rgb="FF8DC63F"/>
      </left>
      <right style="thin">
        <color rgb="FF8DC63F"/>
      </right>
      <top style="medium">
        <color rgb="FF8DC63F"/>
      </top>
      <bottom style="thin">
        <color rgb="FF8DC63F"/>
      </bottom>
      <diagonal/>
    </border>
    <border>
      <left style="thin">
        <color rgb="FF8DC63F"/>
      </left>
      <right style="medium">
        <color rgb="FF8DC63F"/>
      </right>
      <top style="medium">
        <color rgb="FF8DC63F"/>
      </top>
      <bottom style="thin">
        <color rgb="FF8DC63F"/>
      </bottom>
      <diagonal/>
    </border>
    <border>
      <left style="medium">
        <color rgb="FF8DC63F"/>
      </left>
      <right style="thin">
        <color rgb="FF8DC63F"/>
      </right>
      <top style="medium">
        <color rgb="FF8DC63F"/>
      </top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 style="medium">
        <color rgb="FF8DC63F"/>
      </top>
      <bottom style="medium">
        <color rgb="FF8DC63F"/>
      </bottom>
      <diagonal/>
    </border>
    <border>
      <left/>
      <right style="thin">
        <color rgb="FF8DC63F"/>
      </right>
      <top/>
      <bottom style="medium">
        <color rgb="FF8DC63F"/>
      </bottom>
      <diagonal/>
    </border>
    <border>
      <left style="thin">
        <color rgb="FF8DC63F"/>
      </left>
      <right style="thin">
        <color rgb="FF8DC63F"/>
      </right>
      <top/>
      <bottom style="medium">
        <color rgb="FF8DC63F"/>
      </bottom>
      <diagonal/>
    </border>
    <border>
      <left/>
      <right style="medium">
        <color theme="0"/>
      </right>
      <top style="medium">
        <color rgb="FF8DC63F"/>
      </top>
      <bottom style="medium">
        <color rgb="FF8DC63F"/>
      </bottom>
      <diagonal/>
    </border>
    <border>
      <left/>
      <right style="medium">
        <color theme="0"/>
      </right>
      <top/>
      <bottom style="medium">
        <color rgb="FF8DC63F"/>
      </bottom>
      <diagonal/>
    </border>
    <border>
      <left/>
      <right/>
      <top style="thin">
        <color theme="0"/>
      </top>
      <bottom/>
      <diagonal/>
    </border>
    <border>
      <left/>
      <right style="medium">
        <color rgb="FF8DC63F"/>
      </right>
      <top style="medium">
        <color rgb="FF8DC63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8DC63F"/>
      </bottom>
      <diagonal/>
    </border>
    <border>
      <left/>
      <right style="medium">
        <color rgb="FF8DC63F"/>
      </right>
      <top style="medium">
        <color theme="0"/>
      </top>
      <bottom/>
      <diagonal/>
    </border>
    <border>
      <left style="medium">
        <color rgb="FF8DC63F"/>
      </left>
      <right style="medium">
        <color theme="0"/>
      </right>
      <top style="medium">
        <color rgb="FF8DC63F"/>
      </top>
      <bottom/>
      <diagonal/>
    </border>
    <border>
      <left/>
      <right style="medium">
        <color rgb="FF8DC63F"/>
      </right>
      <top style="medium">
        <color rgb="FF8DC63F"/>
      </top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 style="medium">
        <color rgb="FF8DC63F"/>
      </top>
      <bottom style="thin">
        <color theme="0"/>
      </bottom>
      <diagonal/>
    </border>
    <border>
      <left style="thin">
        <color rgb="FF8DC63F"/>
      </left>
      <right style="medium">
        <color rgb="FF8DC63F"/>
      </right>
      <top/>
      <bottom/>
      <diagonal/>
    </border>
    <border>
      <left style="thin">
        <color rgb="FF8DC63F"/>
      </left>
      <right style="medium">
        <color rgb="FF8DC63F"/>
      </right>
      <top style="thin">
        <color theme="0"/>
      </top>
      <bottom style="thin">
        <color theme="0"/>
      </bottom>
      <diagonal/>
    </border>
    <border>
      <left style="thin">
        <color rgb="FF8DC63F"/>
      </left>
      <right style="medium">
        <color rgb="FF8DC63F"/>
      </right>
      <top style="thin">
        <color theme="0"/>
      </top>
      <bottom/>
      <diagonal/>
    </border>
    <border>
      <left style="thin">
        <color rgb="FF8DC63F"/>
      </left>
      <right style="medium">
        <color rgb="FF8DC63F"/>
      </right>
      <top style="thin">
        <color theme="0"/>
      </top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/>
      <bottom style="medium">
        <color rgb="FF8DC63F"/>
      </bottom>
      <diagonal/>
    </border>
  </borders>
  <cellStyleXfs count="1">
    <xf numFmtId="0" fontId="0" fillId="0" borderId="0"/>
  </cellStyleXfs>
  <cellXfs count="203">
    <xf numFmtId="0" fontId="0" fillId="0" borderId="0" xfId="0"/>
    <xf numFmtId="165" fontId="5" fillId="3" borderId="15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165" fontId="5" fillId="3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165" fontId="5" fillId="3" borderId="33" xfId="0" applyNumberFormat="1" applyFont="1" applyFill="1" applyBorder="1" applyAlignment="1">
      <alignment horizontal="center" vertical="center" wrapText="1"/>
    </xf>
    <xf numFmtId="165" fontId="5" fillId="3" borderId="34" xfId="0" applyNumberFormat="1" applyFont="1" applyFill="1" applyBorder="1" applyAlignment="1">
      <alignment horizontal="center" vertical="center" wrapText="1"/>
    </xf>
    <xf numFmtId="165" fontId="5" fillId="3" borderId="35" xfId="0" applyNumberFormat="1" applyFont="1" applyFill="1" applyBorder="1" applyAlignment="1">
      <alignment horizontal="center" vertical="center" wrapText="1"/>
    </xf>
    <xf numFmtId="165" fontId="5" fillId="3" borderId="36" xfId="0" applyNumberFormat="1" applyFont="1" applyFill="1" applyBorder="1" applyAlignment="1">
      <alignment horizontal="center" vertical="center" wrapText="1"/>
    </xf>
    <xf numFmtId="165" fontId="5" fillId="3" borderId="37" xfId="0" applyNumberFormat="1" applyFont="1" applyFill="1" applyBorder="1" applyAlignment="1">
      <alignment horizontal="center" vertical="center" wrapText="1"/>
    </xf>
    <xf numFmtId="165" fontId="5" fillId="3" borderId="38" xfId="0" applyNumberFormat="1" applyFont="1" applyFill="1" applyBorder="1" applyAlignment="1">
      <alignment horizontal="center" vertical="center" wrapText="1"/>
    </xf>
    <xf numFmtId="165" fontId="5" fillId="3" borderId="39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5" fillId="0" borderId="41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5" fontId="5" fillId="0" borderId="46" xfId="0" applyNumberFormat="1" applyFont="1" applyFill="1" applyBorder="1" applyAlignment="1">
      <alignment horizontal="center" vertical="center" wrapText="1"/>
    </xf>
    <xf numFmtId="165" fontId="5" fillId="0" borderId="44" xfId="0" applyNumberFormat="1" applyFont="1" applyFill="1" applyBorder="1" applyAlignment="1">
      <alignment horizontal="center" vertical="center" wrapText="1"/>
    </xf>
    <xf numFmtId="165" fontId="5" fillId="0" borderId="45" xfId="0" applyNumberFormat="1" applyFont="1" applyFill="1" applyBorder="1" applyAlignment="1">
      <alignment horizontal="center" vertical="center" wrapText="1"/>
    </xf>
    <xf numFmtId="165" fontId="5" fillId="3" borderId="4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0" fontId="10" fillId="2" borderId="49" xfId="0" applyFont="1" applyFill="1" applyBorder="1"/>
    <xf numFmtId="166" fontId="4" fillId="2" borderId="19" xfId="0" applyNumberFormat="1" applyFont="1" applyFill="1" applyBorder="1" applyAlignment="1">
      <alignment horizontal="center" vertical="center" wrapText="1"/>
    </xf>
    <xf numFmtId="165" fontId="5" fillId="6" borderId="15" xfId="0" applyNumberFormat="1" applyFont="1" applyFill="1" applyBorder="1" applyAlignment="1">
      <alignment horizontal="center" vertical="center" wrapText="1"/>
    </xf>
    <xf numFmtId="165" fontId="5" fillId="6" borderId="16" xfId="0" applyNumberFormat="1" applyFont="1" applyFill="1" applyBorder="1" applyAlignment="1">
      <alignment horizontal="center" vertical="center" wrapText="1"/>
    </xf>
    <xf numFmtId="165" fontId="5" fillId="6" borderId="17" xfId="0" applyNumberFormat="1" applyFont="1" applyFill="1" applyBorder="1" applyAlignment="1">
      <alignment horizontal="center" vertical="center" wrapText="1"/>
    </xf>
    <xf numFmtId="165" fontId="5" fillId="7" borderId="15" xfId="0" applyNumberFormat="1" applyFont="1" applyFill="1" applyBorder="1" applyAlignment="1">
      <alignment horizontal="center" vertical="center" wrapText="1"/>
    </xf>
    <xf numFmtId="165" fontId="5" fillId="7" borderId="16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65" fontId="5" fillId="7" borderId="17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3" fontId="8" fillId="2" borderId="5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3" fillId="2" borderId="54" xfId="0" applyFont="1" applyFill="1" applyBorder="1" applyAlignment="1">
      <alignment vertical="center" textRotation="90" wrapText="1"/>
    </xf>
    <xf numFmtId="0" fontId="14" fillId="2" borderId="54" xfId="0" applyFont="1" applyFill="1" applyBorder="1" applyAlignment="1">
      <alignment vertical="center" textRotation="90" wrapText="1"/>
    </xf>
    <xf numFmtId="0" fontId="12" fillId="2" borderId="54" xfId="0" applyFont="1" applyFill="1" applyBorder="1" applyAlignment="1">
      <alignment horizontal="left" vertical="center" wrapText="1" indent="1"/>
    </xf>
    <xf numFmtId="0" fontId="0" fillId="2" borderId="56" xfId="0" applyFill="1" applyBorder="1" applyAlignment="1">
      <alignment vertical="top" textRotation="90" wrapText="1"/>
    </xf>
    <xf numFmtId="0" fontId="15" fillId="2" borderId="54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0" fontId="5" fillId="5" borderId="59" xfId="0" applyFont="1" applyFill="1" applyBorder="1" applyAlignment="1">
      <alignment vertical="center" wrapText="1"/>
    </xf>
    <xf numFmtId="3" fontId="5" fillId="5" borderId="58" xfId="0" applyNumberFormat="1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vertical="center" textRotation="90" wrapText="1"/>
    </xf>
    <xf numFmtId="0" fontId="17" fillId="2" borderId="0" xfId="0" applyFont="1" applyFill="1" applyAlignment="1">
      <alignment vertical="center" textRotation="90" wrapText="1"/>
    </xf>
    <xf numFmtId="0" fontId="12" fillId="2" borderId="0" xfId="0" applyFont="1" applyFill="1" applyAlignment="1">
      <alignment horizontal="left" vertical="center" wrapText="1" indent="1"/>
    </xf>
    <xf numFmtId="0" fontId="0" fillId="2" borderId="60" xfId="0" applyFill="1" applyBorder="1" applyAlignment="1">
      <alignment vertical="top" textRotation="90" wrapText="1"/>
    </xf>
    <xf numFmtId="0" fontId="18" fillId="2" borderId="0" xfId="0" applyFont="1" applyFill="1" applyAlignment="1">
      <alignment vertical="center" wrapText="1"/>
    </xf>
    <xf numFmtId="3" fontId="8" fillId="5" borderId="58" xfId="0" applyNumberFormat="1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right"/>
    </xf>
    <xf numFmtId="0" fontId="23" fillId="0" borderId="20" xfId="0" applyFont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right"/>
    </xf>
    <xf numFmtId="0" fontId="23" fillId="0" borderId="20" xfId="0" applyFont="1" applyFill="1" applyBorder="1" applyAlignment="1">
      <alignment vertical="center" wrapText="1"/>
    </xf>
    <xf numFmtId="0" fontId="0" fillId="0" borderId="0" xfId="0" applyFill="1"/>
    <xf numFmtId="0" fontId="21" fillId="0" borderId="62" xfId="0" applyFont="1" applyFill="1" applyBorder="1" applyAlignment="1">
      <alignment vertical="center" wrapText="1"/>
    </xf>
    <xf numFmtId="0" fontId="23" fillId="0" borderId="51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8" borderId="50" xfId="0" applyFont="1" applyFill="1" applyBorder="1" applyAlignment="1">
      <alignment vertical="center" wrapText="1"/>
    </xf>
    <xf numFmtId="0" fontId="21" fillId="0" borderId="44" xfId="0" applyFont="1" applyBorder="1" applyAlignment="1">
      <alignment horizontal="center" vertical="center" wrapText="1"/>
    </xf>
    <xf numFmtId="3" fontId="22" fillId="0" borderId="44" xfId="0" applyNumberFormat="1" applyFont="1" applyBorder="1" applyAlignment="1">
      <alignment horizontal="right" vertical="center" wrapText="1"/>
    </xf>
    <xf numFmtId="0" fontId="24" fillId="9" borderId="70" xfId="0" applyFont="1" applyFill="1" applyBorder="1" applyAlignment="1">
      <alignment horizontal="center" vertical="center" wrapText="1"/>
    </xf>
    <xf numFmtId="0" fontId="24" fillId="9" borderId="71" xfId="0" applyFont="1" applyFill="1" applyBorder="1" applyAlignment="1">
      <alignment horizontal="center" vertical="center" wrapText="1"/>
    </xf>
    <xf numFmtId="0" fontId="20" fillId="8" borderId="72" xfId="0" applyFont="1" applyFill="1" applyBorder="1" applyAlignment="1">
      <alignment vertical="center" wrapText="1"/>
    </xf>
    <xf numFmtId="0" fontId="20" fillId="8" borderId="73" xfId="0" applyFont="1" applyFill="1" applyBorder="1" applyAlignment="1">
      <alignment vertical="center" wrapText="1"/>
    </xf>
    <xf numFmtId="0" fontId="21" fillId="0" borderId="74" xfId="0" applyFont="1" applyBorder="1" applyAlignment="1">
      <alignment vertical="center" wrapText="1"/>
    </xf>
    <xf numFmtId="0" fontId="21" fillId="0" borderId="22" xfId="0" applyFont="1" applyBorder="1" applyAlignment="1">
      <alignment horizontal="center" vertical="center" wrapText="1"/>
    </xf>
    <xf numFmtId="3" fontId="6" fillId="0" borderId="75" xfId="0" applyNumberFormat="1" applyFont="1" applyBorder="1"/>
    <xf numFmtId="3" fontId="6" fillId="0" borderId="21" xfId="0" applyNumberFormat="1" applyFont="1" applyBorder="1"/>
    <xf numFmtId="0" fontId="21" fillId="0" borderId="20" xfId="0" applyFont="1" applyFill="1" applyBorder="1" applyAlignment="1">
      <alignment horizontal="center" vertical="center" wrapText="1"/>
    </xf>
    <xf numFmtId="3" fontId="6" fillId="0" borderId="41" xfId="0" applyNumberFormat="1" applyFont="1" applyFill="1" applyBorder="1"/>
    <xf numFmtId="3" fontId="6" fillId="0" borderId="19" xfId="0" applyNumberFormat="1" applyFont="1" applyBorder="1"/>
    <xf numFmtId="0" fontId="21" fillId="0" borderId="20" xfId="0" applyFont="1" applyBorder="1" applyAlignment="1">
      <alignment horizontal="center" vertical="center" wrapText="1"/>
    </xf>
    <xf numFmtId="3" fontId="6" fillId="0" borderId="41" xfId="0" applyNumberFormat="1" applyFont="1" applyBorder="1"/>
    <xf numFmtId="0" fontId="21" fillId="0" borderId="49" xfId="0" applyFont="1" applyFill="1" applyBorder="1" applyAlignment="1">
      <alignment vertical="center" wrapText="1"/>
    </xf>
    <xf numFmtId="3" fontId="6" fillId="0" borderId="47" xfId="0" applyNumberFormat="1" applyFont="1" applyBorder="1"/>
    <xf numFmtId="3" fontId="6" fillId="0" borderId="46" xfId="0" applyNumberFormat="1" applyFont="1" applyBorder="1"/>
    <xf numFmtId="3" fontId="6" fillId="0" borderId="44" xfId="0" applyNumberFormat="1" applyFont="1" applyBorder="1"/>
    <xf numFmtId="0" fontId="21" fillId="0" borderId="76" xfId="0" applyFont="1" applyBorder="1" applyAlignment="1">
      <alignment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0" borderId="78" xfId="0" applyFont="1" applyBorder="1" applyAlignment="1">
      <alignment vertical="center" wrapText="1"/>
    </xf>
    <xf numFmtId="0" fontId="21" fillId="0" borderId="79" xfId="0" applyFont="1" applyBorder="1" applyAlignment="1">
      <alignment horizontal="center" vertical="center" wrapText="1"/>
    </xf>
    <xf numFmtId="3" fontId="6" fillId="0" borderId="80" xfId="0" applyNumberFormat="1" applyFont="1" applyBorder="1"/>
    <xf numFmtId="3" fontId="6" fillId="0" borderId="81" xfId="0" applyNumberFormat="1" applyFont="1" applyBorder="1"/>
    <xf numFmtId="0" fontId="12" fillId="2" borderId="72" xfId="0" applyFont="1" applyFill="1" applyBorder="1" applyAlignment="1">
      <alignment vertical="center" wrapText="1"/>
    </xf>
    <xf numFmtId="0" fontId="12" fillId="2" borderId="82" xfId="0" applyFont="1" applyFill="1" applyBorder="1" applyAlignment="1">
      <alignment vertical="center" wrapText="1"/>
    </xf>
    <xf numFmtId="3" fontId="12" fillId="2" borderId="83" xfId="0" applyNumberFormat="1" applyFont="1" applyFill="1" applyBorder="1" applyAlignment="1">
      <alignment vertical="center" wrapText="1"/>
    </xf>
    <xf numFmtId="3" fontId="12" fillId="2" borderId="69" xfId="0" applyNumberFormat="1" applyFont="1" applyFill="1" applyBorder="1" applyAlignment="1">
      <alignment vertical="center" wrapText="1"/>
    </xf>
    <xf numFmtId="0" fontId="0" fillId="0" borderId="84" xfId="0" applyBorder="1"/>
    <xf numFmtId="0" fontId="24" fillId="9" borderId="88" xfId="0" applyFont="1" applyFill="1" applyBorder="1" applyAlignment="1">
      <alignment horizontal="center" vertical="center" wrapText="1"/>
    </xf>
    <xf numFmtId="0" fontId="20" fillId="8" borderId="89" xfId="0" applyFont="1" applyFill="1" applyBorder="1" applyAlignment="1">
      <alignment vertical="center" wrapText="1"/>
    </xf>
    <xf numFmtId="3" fontId="25" fillId="2" borderId="90" xfId="0" applyNumberFormat="1" applyFont="1" applyFill="1" applyBorder="1"/>
    <xf numFmtId="3" fontId="25" fillId="2" borderId="91" xfId="0" applyNumberFormat="1" applyFont="1" applyFill="1" applyBorder="1"/>
    <xf numFmtId="3" fontId="25" fillId="2" borderId="92" xfId="0" applyNumberFormat="1" applyFont="1" applyFill="1" applyBorder="1"/>
    <xf numFmtId="3" fontId="25" fillId="2" borderId="93" xfId="0" applyNumberFormat="1" applyFont="1" applyFill="1" applyBorder="1"/>
    <xf numFmtId="3" fontId="25" fillId="2" borderId="94" xfId="0" applyNumberFormat="1" applyFont="1" applyFill="1" applyBorder="1"/>
    <xf numFmtId="3" fontId="25" fillId="2" borderId="95" xfId="0" applyNumberFormat="1" applyFont="1" applyFill="1" applyBorder="1"/>
    <xf numFmtId="0" fontId="6" fillId="0" borderId="81" xfId="0" applyFont="1" applyBorder="1"/>
    <xf numFmtId="0" fontId="12" fillId="2" borderId="83" xfId="0" applyFont="1" applyFill="1" applyBorder="1" applyAlignment="1">
      <alignment vertical="center" wrapText="1"/>
    </xf>
    <xf numFmtId="3" fontId="12" fillId="2" borderId="58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2" borderId="63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85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0" fontId="20" fillId="8" borderId="72" xfId="0" applyFont="1" applyFill="1" applyBorder="1" applyAlignment="1">
      <alignment horizontal="left" vertical="center" wrapText="1"/>
    </xf>
    <xf numFmtId="0" fontId="20" fillId="8" borderId="73" xfId="0" applyFont="1" applyFill="1" applyBorder="1" applyAlignment="1">
      <alignment horizontal="left" vertical="center" wrapText="1"/>
    </xf>
    <xf numFmtId="0" fontId="20" fillId="8" borderId="89" xfId="0" applyFont="1" applyFill="1" applyBorder="1" applyAlignment="1">
      <alignment horizontal="left" vertical="center" wrapText="1"/>
    </xf>
    <xf numFmtId="0" fontId="20" fillId="8" borderId="61" xfId="0" applyFont="1" applyFill="1" applyBorder="1" applyAlignment="1">
      <alignment horizontal="left" vertical="center" wrapText="1"/>
    </xf>
    <xf numFmtId="0" fontId="20" fillId="8" borderId="5" xfId="0" applyFont="1" applyFill="1" applyBorder="1" applyAlignment="1">
      <alignment horizontal="left" vertical="center" wrapText="1"/>
    </xf>
    <xf numFmtId="0" fontId="19" fillId="2" borderId="65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5" fillId="2" borderId="69" xfId="0" applyFont="1" applyFill="1" applyBorder="1" applyAlignment="1">
      <alignment horizontal="center" vertical="center" wrapText="1"/>
    </xf>
    <xf numFmtId="0" fontId="12" fillId="2" borderId="87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20" fillId="8" borderId="61" xfId="0" applyFont="1" applyFill="1" applyBorder="1" applyAlignment="1">
      <alignment vertical="center" wrapText="1"/>
    </xf>
    <xf numFmtId="0" fontId="20" fillId="8" borderId="5" xfId="0" applyFont="1" applyFill="1" applyBorder="1" applyAlignment="1">
      <alignment vertical="center" wrapText="1"/>
    </xf>
    <xf numFmtId="0" fontId="20" fillId="8" borderId="50" xfId="0" applyFont="1" applyFill="1" applyBorder="1" applyAlignment="1">
      <alignment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left" vertical="center" wrapText="1" indent="1"/>
    </xf>
    <xf numFmtId="0" fontId="12" fillId="2" borderId="57" xfId="0" applyFont="1" applyFill="1" applyBorder="1" applyAlignment="1">
      <alignment horizontal="left" vertical="center" wrapText="1" indent="1"/>
    </xf>
    <xf numFmtId="0" fontId="11" fillId="2" borderId="3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3"/>
  <sheetViews>
    <sheetView tabSelected="1" topLeftCell="A22" workbookViewId="0">
      <selection activeCell="G37" sqref="G37"/>
    </sheetView>
  </sheetViews>
  <sheetFormatPr baseColWidth="10" defaultColWidth="11" defaultRowHeight="14.4"/>
  <cols>
    <col min="1" max="1" width="2" customWidth="1"/>
    <col min="2" max="2" width="57.44140625" customWidth="1"/>
    <col min="14" max="14" width="13.6640625" customWidth="1"/>
  </cols>
  <sheetData>
    <row r="1" spans="2:14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2:14" ht="5.4" customHeight="1">
      <c r="B2" s="146"/>
      <c r="C2" s="146"/>
    </row>
    <row r="3" spans="2:14" ht="15" customHeight="1">
      <c r="B3" s="147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2:14" ht="15" customHeight="1">
      <c r="B4" s="158" t="s">
        <v>2</v>
      </c>
      <c r="C4" s="160" t="s">
        <v>3</v>
      </c>
      <c r="D4" s="150" t="s">
        <v>4</v>
      </c>
      <c r="E4" s="151"/>
      <c r="F4" s="151"/>
      <c r="G4" s="151"/>
      <c r="H4" s="151"/>
      <c r="I4" s="151"/>
      <c r="J4" s="151"/>
      <c r="K4" s="151"/>
      <c r="L4" s="151"/>
      <c r="M4" s="152"/>
      <c r="N4" s="162" t="s">
        <v>5</v>
      </c>
    </row>
    <row r="5" spans="2:14" ht="52.2" customHeight="1">
      <c r="B5" s="159"/>
      <c r="C5" s="161"/>
      <c r="D5" s="106" t="s">
        <v>6</v>
      </c>
      <c r="E5" s="107" t="s">
        <v>7</v>
      </c>
      <c r="F5" s="107" t="s">
        <v>8</v>
      </c>
      <c r="G5" s="107" t="s">
        <v>9</v>
      </c>
      <c r="H5" s="107" t="s">
        <v>10</v>
      </c>
      <c r="I5" s="107" t="s">
        <v>11</v>
      </c>
      <c r="J5" s="107" t="s">
        <v>12</v>
      </c>
      <c r="K5" s="107" t="s">
        <v>13</v>
      </c>
      <c r="L5" s="107" t="s">
        <v>14</v>
      </c>
      <c r="M5" s="134" t="s">
        <v>15</v>
      </c>
      <c r="N5" s="163"/>
    </row>
    <row r="6" spans="2:14" ht="15" customHeight="1">
      <c r="B6" s="108" t="s">
        <v>16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35"/>
    </row>
    <row r="7" spans="2:14">
      <c r="B7" s="110" t="s">
        <v>17</v>
      </c>
      <c r="C7" s="111" t="s">
        <v>18</v>
      </c>
      <c r="D7" s="112">
        <v>2746</v>
      </c>
      <c r="E7" s="113">
        <v>956</v>
      </c>
      <c r="F7" s="113">
        <v>3978</v>
      </c>
      <c r="G7" s="113">
        <v>1123</v>
      </c>
      <c r="H7" s="113"/>
      <c r="I7" s="113">
        <v>6845</v>
      </c>
      <c r="J7" s="113">
        <v>1457</v>
      </c>
      <c r="K7" s="113">
        <v>1022</v>
      </c>
      <c r="L7" s="113"/>
      <c r="M7" s="113"/>
      <c r="N7" s="136">
        <f>SUM(D7:M7)</f>
        <v>18127</v>
      </c>
    </row>
    <row r="8" spans="2:14">
      <c r="B8" s="93" t="s">
        <v>19</v>
      </c>
      <c r="C8" s="114" t="s">
        <v>20</v>
      </c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37">
        <f t="shared" ref="N8:N18" si="0">SUM(D8:M8)</f>
        <v>0</v>
      </c>
    </row>
    <row r="9" spans="2:14">
      <c r="B9" s="93" t="s">
        <v>21</v>
      </c>
      <c r="C9" s="114" t="s">
        <v>20</v>
      </c>
      <c r="D9" s="115">
        <v>87343</v>
      </c>
      <c r="E9" s="116">
        <v>30425</v>
      </c>
      <c r="F9" s="116">
        <v>92744</v>
      </c>
      <c r="G9" s="116">
        <v>6025</v>
      </c>
      <c r="H9" s="116"/>
      <c r="I9" s="116">
        <v>11515</v>
      </c>
      <c r="J9" s="116">
        <v>13925</v>
      </c>
      <c r="K9" s="116">
        <v>38000</v>
      </c>
      <c r="L9" s="116"/>
      <c r="M9" s="116"/>
      <c r="N9" s="138">
        <f t="shared" si="0"/>
        <v>279977</v>
      </c>
    </row>
    <row r="10" spans="2:14">
      <c r="B10" s="93" t="s">
        <v>22</v>
      </c>
      <c r="C10" s="114" t="s">
        <v>20</v>
      </c>
      <c r="D10" s="115">
        <v>19192</v>
      </c>
      <c r="E10" s="116">
        <v>11900</v>
      </c>
      <c r="F10" s="116">
        <v>62768</v>
      </c>
      <c r="G10" s="116">
        <v>1300</v>
      </c>
      <c r="H10" s="116">
        <v>90120</v>
      </c>
      <c r="I10" s="116">
        <v>102428</v>
      </c>
      <c r="J10" s="116">
        <v>19528</v>
      </c>
      <c r="K10" s="116">
        <v>1154</v>
      </c>
      <c r="L10" s="116"/>
      <c r="M10" s="116"/>
      <c r="N10" s="137">
        <f t="shared" si="0"/>
        <v>308390</v>
      </c>
    </row>
    <row r="11" spans="2:14">
      <c r="B11" s="93" t="s">
        <v>23</v>
      </c>
      <c r="C11" s="117" t="s">
        <v>20</v>
      </c>
      <c r="D11" s="115">
        <v>3080</v>
      </c>
      <c r="E11" s="116">
        <v>3264</v>
      </c>
      <c r="F11" s="116">
        <v>14178</v>
      </c>
      <c r="G11" s="116">
        <v>883</v>
      </c>
      <c r="H11" s="116"/>
      <c r="I11" s="116">
        <v>3058</v>
      </c>
      <c r="J11" s="116">
        <v>2458</v>
      </c>
      <c r="K11" s="116">
        <v>1652</v>
      </c>
      <c r="L11" s="116"/>
      <c r="M11" s="116"/>
      <c r="N11" s="139">
        <f t="shared" si="0"/>
        <v>28573</v>
      </c>
    </row>
    <row r="12" spans="2:14">
      <c r="B12" s="89" t="s">
        <v>24</v>
      </c>
      <c r="C12" s="117" t="s">
        <v>18</v>
      </c>
      <c r="D12" s="118">
        <v>95</v>
      </c>
      <c r="E12" s="116">
        <v>25</v>
      </c>
      <c r="F12" s="116">
        <v>54</v>
      </c>
      <c r="G12" s="116">
        <v>82</v>
      </c>
      <c r="H12" s="116"/>
      <c r="I12" s="116">
        <v>92</v>
      </c>
      <c r="J12" s="116">
        <v>12</v>
      </c>
      <c r="K12" s="116">
        <v>29</v>
      </c>
      <c r="L12" s="116"/>
      <c r="M12" s="116"/>
      <c r="N12" s="139">
        <f t="shared" si="0"/>
        <v>389</v>
      </c>
    </row>
    <row r="13" spans="2:14">
      <c r="B13" s="89" t="s">
        <v>25</v>
      </c>
      <c r="C13" s="117" t="s">
        <v>20</v>
      </c>
      <c r="D13" s="118">
        <v>135</v>
      </c>
      <c r="E13" s="116">
        <v>57</v>
      </c>
      <c r="F13" s="116">
        <v>472</v>
      </c>
      <c r="G13" s="116">
        <v>436</v>
      </c>
      <c r="H13" s="116"/>
      <c r="I13" s="116">
        <v>9</v>
      </c>
      <c r="J13" s="116">
        <v>51</v>
      </c>
      <c r="K13" s="116">
        <v>0</v>
      </c>
      <c r="L13" s="116"/>
      <c r="M13" s="116"/>
      <c r="N13" s="138">
        <f t="shared" si="0"/>
        <v>1160</v>
      </c>
    </row>
    <row r="14" spans="2:14">
      <c r="B14" s="89" t="s">
        <v>26</v>
      </c>
      <c r="C14" s="117" t="s">
        <v>27</v>
      </c>
      <c r="D14" s="118">
        <v>3770</v>
      </c>
      <c r="E14" s="116">
        <v>375</v>
      </c>
      <c r="F14" s="116">
        <v>2690</v>
      </c>
      <c r="G14" s="116">
        <v>1317</v>
      </c>
      <c r="H14" s="116"/>
      <c r="I14" s="116">
        <v>2900</v>
      </c>
      <c r="J14" s="116">
        <v>1786</v>
      </c>
      <c r="K14" s="116">
        <v>1647</v>
      </c>
      <c r="L14" s="116"/>
      <c r="M14" s="116"/>
      <c r="N14" s="137">
        <f t="shared" si="0"/>
        <v>14485</v>
      </c>
    </row>
    <row r="15" spans="2:14">
      <c r="B15" s="89" t="s">
        <v>28</v>
      </c>
      <c r="C15" s="117" t="s">
        <v>20</v>
      </c>
      <c r="D15" s="118"/>
      <c r="E15" s="116"/>
      <c r="F15" s="116"/>
      <c r="G15" s="116"/>
      <c r="H15" s="116">
        <v>159900</v>
      </c>
      <c r="I15" s="116"/>
      <c r="J15" s="116"/>
      <c r="K15" s="116"/>
      <c r="L15" s="116"/>
      <c r="M15" s="116"/>
      <c r="N15" s="138">
        <f t="shared" si="0"/>
        <v>159900</v>
      </c>
    </row>
    <row r="16" spans="2:14">
      <c r="B16" s="93" t="s">
        <v>29</v>
      </c>
      <c r="C16" s="117" t="s">
        <v>20</v>
      </c>
      <c r="D16" s="118">
        <v>15</v>
      </c>
      <c r="E16" s="116">
        <v>252</v>
      </c>
      <c r="F16" s="116">
        <v>1800</v>
      </c>
      <c r="G16" s="116">
        <v>952</v>
      </c>
      <c r="H16" s="116"/>
      <c r="I16" s="116"/>
      <c r="J16" s="116"/>
      <c r="K16" s="116"/>
      <c r="L16" s="116">
        <v>82</v>
      </c>
      <c r="M16" s="116"/>
      <c r="N16" s="138">
        <f t="shared" si="0"/>
        <v>3101</v>
      </c>
    </row>
    <row r="17" spans="2:14">
      <c r="B17" s="93" t="s">
        <v>30</v>
      </c>
      <c r="C17" s="117" t="s">
        <v>20</v>
      </c>
      <c r="D17" s="118">
        <v>58600</v>
      </c>
      <c r="E17" s="116">
        <v>13754</v>
      </c>
      <c r="F17" s="116">
        <v>74200</v>
      </c>
      <c r="G17" s="116">
        <v>29665</v>
      </c>
      <c r="H17" s="116">
        <v>10900</v>
      </c>
      <c r="I17" s="116">
        <v>348000</v>
      </c>
      <c r="J17" s="116">
        <v>15962</v>
      </c>
      <c r="K17" s="116">
        <v>4695</v>
      </c>
      <c r="L17" s="116"/>
      <c r="M17" s="116"/>
      <c r="N17" s="138">
        <f t="shared" si="0"/>
        <v>555776</v>
      </c>
    </row>
    <row r="18" spans="2:14">
      <c r="B18" s="119" t="s">
        <v>31</v>
      </c>
      <c r="C18" s="117" t="s">
        <v>20</v>
      </c>
      <c r="D18" s="120">
        <f>D42-D26-D24-D23-D17-D16-D15-D13-D11-D10-D9-D8</f>
        <v>21595</v>
      </c>
      <c r="E18" s="120">
        <f t="shared" ref="E18:K18" si="1">E42-E26-E24-E23-E17-E16-E15-E13-E11-E10-E9-E8</f>
        <v>24</v>
      </c>
      <c r="F18" s="120">
        <f t="shared" si="1"/>
        <v>34268</v>
      </c>
      <c r="G18" s="120">
        <f t="shared" si="1"/>
        <v>3787</v>
      </c>
      <c r="H18" s="120">
        <f t="shared" si="1"/>
        <v>227</v>
      </c>
      <c r="I18" s="120">
        <f t="shared" si="1"/>
        <v>261619</v>
      </c>
      <c r="J18" s="120">
        <f t="shared" si="1"/>
        <v>28253</v>
      </c>
      <c r="K18" s="120">
        <f t="shared" si="1"/>
        <v>76430</v>
      </c>
      <c r="L18" s="120"/>
      <c r="M18" s="120"/>
      <c r="N18" s="138">
        <f t="shared" si="0"/>
        <v>426203</v>
      </c>
    </row>
    <row r="19" spans="2:14">
      <c r="B19" s="153" t="s">
        <v>32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5"/>
    </row>
    <row r="20" spans="2:14">
      <c r="B20" s="110" t="s">
        <v>33</v>
      </c>
      <c r="C20" s="111" t="s">
        <v>27</v>
      </c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37">
        <f t="shared" ref="N20:N27" si="2">SUM(D20:M20)</f>
        <v>0</v>
      </c>
    </row>
    <row r="21" spans="2:14">
      <c r="B21" s="89" t="s">
        <v>34</v>
      </c>
      <c r="C21" s="117" t="s">
        <v>18</v>
      </c>
      <c r="D21" s="118">
        <v>1</v>
      </c>
      <c r="E21" s="116">
        <v>2</v>
      </c>
      <c r="F21" s="116">
        <v>2</v>
      </c>
      <c r="G21" s="116">
        <v>13</v>
      </c>
      <c r="H21" s="116">
        <v>3</v>
      </c>
      <c r="I21" s="116">
        <v>11</v>
      </c>
      <c r="J21" s="116"/>
      <c r="K21" s="116">
        <v>4</v>
      </c>
      <c r="L21" s="116"/>
      <c r="M21" s="116"/>
      <c r="N21" s="139">
        <f t="shared" si="2"/>
        <v>36</v>
      </c>
    </row>
    <row r="22" spans="2:14">
      <c r="B22" s="89" t="s">
        <v>35</v>
      </c>
      <c r="C22" s="117" t="s">
        <v>20</v>
      </c>
      <c r="D22" s="118"/>
      <c r="E22" s="116"/>
      <c r="F22" s="116"/>
      <c r="G22" s="116"/>
      <c r="H22" s="116"/>
      <c r="I22" s="116"/>
      <c r="J22" s="116"/>
      <c r="K22" s="116"/>
      <c r="L22" s="116"/>
      <c r="M22" s="116"/>
      <c r="N22" s="139">
        <f t="shared" si="2"/>
        <v>0</v>
      </c>
    </row>
    <row r="23" spans="2:14">
      <c r="B23" s="89" t="s">
        <v>36</v>
      </c>
      <c r="C23" s="117" t="s">
        <v>20</v>
      </c>
      <c r="D23" s="118">
        <v>18000</v>
      </c>
      <c r="E23" s="116">
        <v>15235</v>
      </c>
      <c r="F23" s="116">
        <v>19523</v>
      </c>
      <c r="G23" s="116">
        <v>5318</v>
      </c>
      <c r="H23" s="116">
        <v>9526</v>
      </c>
      <c r="I23" s="116">
        <v>13300</v>
      </c>
      <c r="J23" s="116">
        <v>385</v>
      </c>
      <c r="K23" s="116">
        <v>3753</v>
      </c>
      <c r="L23" s="116"/>
      <c r="M23" s="116"/>
      <c r="N23" s="138">
        <f t="shared" si="2"/>
        <v>85040</v>
      </c>
    </row>
    <row r="24" spans="2:14">
      <c r="B24" s="89" t="s">
        <v>37</v>
      </c>
      <c r="C24" s="117" t="s">
        <v>20</v>
      </c>
      <c r="D24" s="118">
        <v>1410</v>
      </c>
      <c r="E24" s="116">
        <v>2310</v>
      </c>
      <c r="F24" s="116">
        <v>326</v>
      </c>
      <c r="G24" s="116">
        <v>1200</v>
      </c>
      <c r="H24" s="116"/>
      <c r="I24" s="116"/>
      <c r="J24" s="116"/>
      <c r="K24" s="116"/>
      <c r="L24" s="116"/>
      <c r="M24" s="116"/>
      <c r="N24" s="137">
        <f t="shared" si="2"/>
        <v>5246</v>
      </c>
    </row>
    <row r="25" spans="2:14">
      <c r="B25" s="93" t="s">
        <v>38</v>
      </c>
      <c r="C25" s="117" t="s">
        <v>18</v>
      </c>
      <c r="D25" s="118">
        <v>10</v>
      </c>
      <c r="E25" s="116">
        <v>6</v>
      </c>
      <c r="F25" s="116">
        <v>8</v>
      </c>
      <c r="G25" s="116">
        <v>2</v>
      </c>
      <c r="H25" s="116">
        <v>4</v>
      </c>
      <c r="I25" s="116">
        <v>12</v>
      </c>
      <c r="J25" s="116"/>
      <c r="K25" s="116"/>
      <c r="L25" s="116"/>
      <c r="M25" s="116"/>
      <c r="N25" s="139">
        <f t="shared" si="2"/>
        <v>42</v>
      </c>
    </row>
    <row r="26" spans="2:14">
      <c r="B26" s="89" t="s">
        <v>39</v>
      </c>
      <c r="C26" s="117" t="s">
        <v>20</v>
      </c>
      <c r="D26" s="118">
        <v>2173</v>
      </c>
      <c r="E26" s="116">
        <v>1303</v>
      </c>
      <c r="F26" s="116">
        <v>1738</v>
      </c>
      <c r="G26" s="116">
        <v>434</v>
      </c>
      <c r="H26" s="116">
        <v>869</v>
      </c>
      <c r="I26" s="116">
        <v>2607</v>
      </c>
      <c r="J26" s="116"/>
      <c r="K26" s="116"/>
      <c r="L26" s="116"/>
      <c r="M26" s="116"/>
      <c r="N26" s="139">
        <f t="shared" si="2"/>
        <v>9124</v>
      </c>
    </row>
    <row r="27" spans="2:14">
      <c r="B27" s="100" t="s">
        <v>31</v>
      </c>
      <c r="C27" s="102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40">
        <f t="shared" si="2"/>
        <v>0</v>
      </c>
    </row>
    <row r="28" spans="2:14">
      <c r="B28" s="156" t="s">
        <v>40</v>
      </c>
      <c r="C28" s="157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2:14">
      <c r="B29" s="123" t="s">
        <v>41</v>
      </c>
      <c r="C29" s="124" t="s">
        <v>18</v>
      </c>
      <c r="D29" s="112">
        <v>385</v>
      </c>
      <c r="E29" s="113">
        <v>72</v>
      </c>
      <c r="F29" s="113">
        <v>562</v>
      </c>
      <c r="G29" s="113">
        <v>217</v>
      </c>
      <c r="H29" s="113">
        <v>29</v>
      </c>
      <c r="I29" s="113">
        <v>832</v>
      </c>
      <c r="J29" s="113">
        <v>14</v>
      </c>
      <c r="K29" s="113">
        <v>12</v>
      </c>
      <c r="L29" s="113"/>
      <c r="M29" s="113"/>
      <c r="N29" s="136">
        <f t="shared" ref="N29:N39" si="3">SUM(D29:M29)</f>
        <v>2123</v>
      </c>
    </row>
    <row r="30" spans="2:14">
      <c r="B30" s="89" t="s">
        <v>42</v>
      </c>
      <c r="C30" s="117" t="s">
        <v>18</v>
      </c>
      <c r="D30" s="118">
        <v>10</v>
      </c>
      <c r="E30" s="116">
        <v>2</v>
      </c>
      <c r="F30" s="116">
        <v>12</v>
      </c>
      <c r="G30" s="116">
        <v>3</v>
      </c>
      <c r="H30" s="116">
        <v>14</v>
      </c>
      <c r="I30" s="116"/>
      <c r="J30" s="116"/>
      <c r="K30" s="116"/>
      <c r="L30" s="116"/>
      <c r="M30" s="116"/>
      <c r="N30" s="138">
        <f t="shared" si="3"/>
        <v>41</v>
      </c>
    </row>
    <row r="31" spans="2:14">
      <c r="B31" s="89" t="s">
        <v>43</v>
      </c>
      <c r="C31" s="117" t="s">
        <v>27</v>
      </c>
      <c r="D31" s="118">
        <v>2115</v>
      </c>
      <c r="E31" s="116">
        <v>643</v>
      </c>
      <c r="F31" s="116">
        <v>2272</v>
      </c>
      <c r="G31" s="116">
        <v>1214</v>
      </c>
      <c r="H31" s="116">
        <v>92</v>
      </c>
      <c r="I31" s="116">
        <v>4725</v>
      </c>
      <c r="J31" s="116">
        <v>527</v>
      </c>
      <c r="K31" s="116">
        <v>2976</v>
      </c>
      <c r="L31" s="116"/>
      <c r="M31" s="116"/>
      <c r="N31" s="137">
        <f t="shared" si="3"/>
        <v>14564</v>
      </c>
    </row>
    <row r="32" spans="2:14">
      <c r="B32" s="89" t="s">
        <v>44</v>
      </c>
      <c r="C32" s="117" t="s">
        <v>18</v>
      </c>
      <c r="D32" s="118">
        <v>101</v>
      </c>
      <c r="E32" s="116">
        <v>18</v>
      </c>
      <c r="F32" s="116">
        <v>153</v>
      </c>
      <c r="G32" s="116">
        <v>68</v>
      </c>
      <c r="H32" s="116">
        <v>21</v>
      </c>
      <c r="I32" s="116">
        <v>912</v>
      </c>
      <c r="J32" s="116">
        <v>15</v>
      </c>
      <c r="K32" s="116">
        <v>42</v>
      </c>
      <c r="L32" s="116"/>
      <c r="M32" s="116"/>
      <c r="N32" s="138">
        <f t="shared" si="3"/>
        <v>1330</v>
      </c>
    </row>
    <row r="33" spans="2:19">
      <c r="B33" s="89" t="s">
        <v>45</v>
      </c>
      <c r="C33" s="117" t="s">
        <v>18</v>
      </c>
      <c r="D33" s="118">
        <v>36</v>
      </c>
      <c r="E33" s="116">
        <v>28</v>
      </c>
      <c r="F33" s="116">
        <v>53</v>
      </c>
      <c r="G33" s="116">
        <v>29</v>
      </c>
      <c r="H33" s="116"/>
      <c r="I33" s="116">
        <v>124</v>
      </c>
      <c r="J33" s="116">
        <v>2</v>
      </c>
      <c r="K33" s="116">
        <v>36</v>
      </c>
      <c r="L33" s="116"/>
      <c r="M33" s="116"/>
      <c r="N33" s="138">
        <f t="shared" si="3"/>
        <v>308</v>
      </c>
    </row>
    <row r="34" spans="2:19">
      <c r="B34" s="89" t="s">
        <v>46</v>
      </c>
      <c r="C34" s="117" t="s">
        <v>18</v>
      </c>
      <c r="D34" s="118">
        <v>32</v>
      </c>
      <c r="E34" s="116">
        <v>9</v>
      </c>
      <c r="F34" s="116">
        <v>35</v>
      </c>
      <c r="G34" s="116">
        <v>18</v>
      </c>
      <c r="H34" s="116">
        <v>7</v>
      </c>
      <c r="I34" s="116"/>
      <c r="J34" s="116">
        <v>11</v>
      </c>
      <c r="K34" s="116">
        <v>2</v>
      </c>
      <c r="L34" s="116"/>
      <c r="M34" s="116"/>
      <c r="N34" s="137">
        <f t="shared" si="3"/>
        <v>114</v>
      </c>
      <c r="S34">
        <v>8</v>
      </c>
    </row>
    <row r="35" spans="2:19">
      <c r="B35" s="89" t="s">
        <v>47</v>
      </c>
      <c r="C35" s="117" t="s">
        <v>18</v>
      </c>
      <c r="D35" s="118">
        <v>14</v>
      </c>
      <c r="E35" s="116">
        <v>21</v>
      </c>
      <c r="F35" s="116">
        <v>38</v>
      </c>
      <c r="G35" s="116">
        <v>10</v>
      </c>
      <c r="H35" s="116">
        <v>10</v>
      </c>
      <c r="I35" s="116">
        <v>25</v>
      </c>
      <c r="J35" s="116">
        <v>4</v>
      </c>
      <c r="K35" s="116">
        <v>8</v>
      </c>
      <c r="L35" s="116"/>
      <c r="M35" s="116"/>
      <c r="N35" s="139">
        <f t="shared" si="3"/>
        <v>130</v>
      </c>
    </row>
    <row r="36" spans="2:19">
      <c r="B36" s="89" t="s">
        <v>48</v>
      </c>
      <c r="C36" s="117" t="s">
        <v>18</v>
      </c>
      <c r="D36" s="118">
        <v>9</v>
      </c>
      <c r="E36" s="116">
        <v>13</v>
      </c>
      <c r="F36" s="116">
        <v>31</v>
      </c>
      <c r="G36" s="116">
        <v>18</v>
      </c>
      <c r="H36" s="116">
        <v>3</v>
      </c>
      <c r="I36" s="116">
        <v>19</v>
      </c>
      <c r="J36" s="116">
        <v>2</v>
      </c>
      <c r="K36" s="116"/>
      <c r="L36" s="116"/>
      <c r="M36" s="116"/>
      <c r="N36" s="139">
        <f t="shared" si="3"/>
        <v>95</v>
      </c>
    </row>
    <row r="37" spans="2:19">
      <c r="B37" s="89" t="s">
        <v>49</v>
      </c>
      <c r="C37" s="117" t="s">
        <v>18</v>
      </c>
      <c r="D37" s="118">
        <v>9</v>
      </c>
      <c r="E37" s="116">
        <v>16</v>
      </c>
      <c r="F37" s="116">
        <v>25</v>
      </c>
      <c r="G37" s="116"/>
      <c r="H37" s="116">
        <v>32</v>
      </c>
      <c r="I37" s="116">
        <v>0</v>
      </c>
      <c r="J37" s="116"/>
      <c r="K37" s="116">
        <v>6</v>
      </c>
      <c r="L37" s="116"/>
      <c r="M37" s="116"/>
      <c r="N37" s="139">
        <f t="shared" si="3"/>
        <v>88</v>
      </c>
    </row>
    <row r="38" spans="2:19">
      <c r="B38" s="89" t="s">
        <v>50</v>
      </c>
      <c r="C38" s="117" t="s">
        <v>18</v>
      </c>
      <c r="D38" s="118">
        <v>34</v>
      </c>
      <c r="E38" s="116">
        <v>20</v>
      </c>
      <c r="F38" s="116">
        <v>29</v>
      </c>
      <c r="G38" s="116">
        <v>8</v>
      </c>
      <c r="H38" s="116">
        <v>14</v>
      </c>
      <c r="I38" s="116">
        <v>41</v>
      </c>
      <c r="J38" s="116"/>
      <c r="K38" s="116"/>
      <c r="L38" s="116"/>
      <c r="M38" s="116"/>
      <c r="N38" s="138">
        <f t="shared" si="3"/>
        <v>146</v>
      </c>
    </row>
    <row r="39" spans="2:19">
      <c r="B39" s="100" t="s">
        <v>31</v>
      </c>
      <c r="C39" s="102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41">
        <f t="shared" si="3"/>
        <v>0</v>
      </c>
    </row>
    <row r="40" spans="2:19">
      <c r="B40" s="156" t="s">
        <v>51</v>
      </c>
      <c r="C40" s="157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5"/>
    </row>
    <row r="41" spans="2:19">
      <c r="B41" s="125" t="s">
        <v>52</v>
      </c>
      <c r="C41" s="126" t="s">
        <v>20</v>
      </c>
      <c r="D41" s="127">
        <v>188538</v>
      </c>
      <c r="E41" s="128">
        <v>94001</v>
      </c>
      <c r="F41" s="128">
        <v>267423</v>
      </c>
      <c r="G41" s="128">
        <v>45013</v>
      </c>
      <c r="H41" s="128">
        <f>H10+H15+H17+H23+H26</f>
        <v>271315</v>
      </c>
      <c r="I41" s="128">
        <v>480917</v>
      </c>
      <c r="J41" s="128">
        <v>52309</v>
      </c>
      <c r="K41" s="128">
        <v>49254</v>
      </c>
      <c r="L41" s="142"/>
      <c r="M41" s="142"/>
      <c r="N41" s="136">
        <f>SUM(D41:M41)</f>
        <v>1448770</v>
      </c>
    </row>
    <row r="42" spans="2:19">
      <c r="B42" s="129" t="s">
        <v>53</v>
      </c>
      <c r="C42" s="130"/>
      <c r="D42" s="131">
        <v>211543</v>
      </c>
      <c r="E42" s="131">
        <v>78524</v>
      </c>
      <c r="F42" s="131">
        <v>302017</v>
      </c>
      <c r="G42" s="132">
        <v>50000</v>
      </c>
      <c r="H42" s="131">
        <v>271542</v>
      </c>
      <c r="I42" s="131">
        <v>742536</v>
      </c>
      <c r="J42" s="131">
        <v>80562</v>
      </c>
      <c r="K42" s="131">
        <v>125684</v>
      </c>
      <c r="L42" s="143">
        <v>82</v>
      </c>
      <c r="M42" s="143"/>
      <c r="N42" s="144">
        <f t="shared" ref="N42" si="4">SUM(D42:M42)</f>
        <v>1862490</v>
      </c>
    </row>
    <row r="43" spans="2:19">
      <c r="G43" s="133"/>
    </row>
  </sheetData>
  <mergeCells count="10">
    <mergeCell ref="B28:N28"/>
    <mergeCell ref="B40:N40"/>
    <mergeCell ref="B4:B5"/>
    <mergeCell ref="C4:C5"/>
    <mergeCell ref="N4:N5"/>
    <mergeCell ref="B1:N1"/>
    <mergeCell ref="B2:C2"/>
    <mergeCell ref="B3:N3"/>
    <mergeCell ref="D4:M4"/>
    <mergeCell ref="B19:N19"/>
  </mergeCells>
  <pageMargins left="0.7" right="0.7" top="0.75" bottom="0.75" header="0.3" footer="0.3"/>
  <pageSetup paperSize="8" scale="9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3"/>
  <sheetViews>
    <sheetView topLeftCell="A19" zoomScale="110" zoomScaleNormal="110" workbookViewId="0">
      <selection activeCell="D40" sqref="D40"/>
    </sheetView>
  </sheetViews>
  <sheetFormatPr baseColWidth="10" defaultColWidth="11" defaultRowHeight="14.4"/>
  <cols>
    <col min="1" max="1" width="3.44140625" customWidth="1"/>
    <col min="2" max="2" width="61" customWidth="1"/>
    <col min="5" max="5" width="37.44140625" customWidth="1"/>
    <col min="6" max="6" width="25.6640625" customWidth="1"/>
  </cols>
  <sheetData>
    <row r="1" spans="2:9">
      <c r="B1" s="146" t="s">
        <v>54</v>
      </c>
      <c r="C1" s="146"/>
      <c r="D1" s="146"/>
      <c r="E1" s="146"/>
    </row>
    <row r="2" spans="2:9" ht="5.4" customHeight="1"/>
    <row r="3" spans="2:9">
      <c r="B3" s="164" t="s">
        <v>1</v>
      </c>
      <c r="C3" s="164"/>
      <c r="D3" s="164"/>
      <c r="E3" s="164"/>
    </row>
    <row r="4" spans="2:9" ht="52.2" customHeight="1">
      <c r="B4" s="87" t="s">
        <v>2</v>
      </c>
      <c r="C4" s="76" t="s">
        <v>3</v>
      </c>
      <c r="D4" s="76" t="s">
        <v>55</v>
      </c>
      <c r="E4" s="88" t="s">
        <v>56</v>
      </c>
    </row>
    <row r="5" spans="2:9">
      <c r="B5" s="165" t="s">
        <v>16</v>
      </c>
      <c r="C5" s="166"/>
      <c r="D5" s="166"/>
      <c r="E5" s="167"/>
    </row>
    <row r="6" spans="2:9">
      <c r="B6" s="89" t="s">
        <v>17</v>
      </c>
      <c r="C6" s="90" t="s">
        <v>18</v>
      </c>
      <c r="D6" s="91">
        <f>'4.ResumenTiposInfraestructura'!N7</f>
        <v>18127</v>
      </c>
      <c r="E6" s="92"/>
    </row>
    <row r="7" spans="2:9">
      <c r="B7" s="93" t="s">
        <v>19</v>
      </c>
      <c r="C7" s="94" t="s">
        <v>20</v>
      </c>
      <c r="D7" s="95">
        <f>'4.ResumenTiposInfraestructura'!N8</f>
        <v>0</v>
      </c>
      <c r="E7" s="96"/>
      <c r="F7" s="97"/>
      <c r="G7" s="97"/>
      <c r="H7" s="97"/>
      <c r="I7" s="97"/>
    </row>
    <row r="8" spans="2:9">
      <c r="B8" s="93" t="s">
        <v>21</v>
      </c>
      <c r="C8" s="94" t="s">
        <v>20</v>
      </c>
      <c r="D8" s="95">
        <f>'4.ResumenTiposInfraestructura'!N9</f>
        <v>279977</v>
      </c>
      <c r="E8" s="96"/>
      <c r="F8" s="97"/>
      <c r="G8" s="97"/>
      <c r="H8" s="97"/>
      <c r="I8" s="97"/>
    </row>
    <row r="9" spans="2:9">
      <c r="B9" s="93" t="s">
        <v>22</v>
      </c>
      <c r="C9" s="94" t="s">
        <v>20</v>
      </c>
      <c r="D9" s="95">
        <f>'4.ResumenTiposInfraestructura'!N10</f>
        <v>308390</v>
      </c>
      <c r="E9" s="96"/>
      <c r="F9" s="97"/>
      <c r="G9" s="97"/>
      <c r="H9" s="97"/>
      <c r="I9" s="97"/>
    </row>
    <row r="10" spans="2:9">
      <c r="B10" s="93" t="s">
        <v>23</v>
      </c>
      <c r="C10" s="90" t="s">
        <v>20</v>
      </c>
      <c r="D10" s="95">
        <f>'4.ResumenTiposInfraestructura'!N11</f>
        <v>28573</v>
      </c>
      <c r="E10" s="96"/>
      <c r="F10" s="97"/>
      <c r="G10" s="97"/>
      <c r="H10" s="97"/>
      <c r="I10" s="97"/>
    </row>
    <row r="11" spans="2:9">
      <c r="B11" s="89" t="s">
        <v>24</v>
      </c>
      <c r="C11" s="90" t="s">
        <v>18</v>
      </c>
      <c r="D11" s="91">
        <f>'4.ResumenTiposInfraestructura'!N12</f>
        <v>389</v>
      </c>
      <c r="E11" s="92"/>
    </row>
    <row r="12" spans="2:9">
      <c r="B12" s="89" t="s">
        <v>25</v>
      </c>
      <c r="C12" s="90" t="s">
        <v>20</v>
      </c>
      <c r="D12" s="91">
        <f>'4.ResumenTiposInfraestructura'!N13</f>
        <v>1160</v>
      </c>
      <c r="E12" s="92"/>
    </row>
    <row r="13" spans="2:9">
      <c r="B13" s="89" t="s">
        <v>26</v>
      </c>
      <c r="C13" s="90" t="s">
        <v>27</v>
      </c>
      <c r="D13" s="91">
        <f>'4.ResumenTiposInfraestructura'!N14</f>
        <v>14485</v>
      </c>
      <c r="E13" s="92"/>
    </row>
    <row r="14" spans="2:9">
      <c r="B14" s="89" t="s">
        <v>28</v>
      </c>
      <c r="C14" s="90" t="s">
        <v>20</v>
      </c>
      <c r="D14" s="91">
        <f>'4.ResumenTiposInfraestructura'!N15</f>
        <v>159900</v>
      </c>
      <c r="E14" s="92"/>
    </row>
    <row r="15" spans="2:9">
      <c r="B15" s="93" t="s">
        <v>29</v>
      </c>
      <c r="C15" s="90" t="s">
        <v>20</v>
      </c>
      <c r="D15" s="91">
        <f>'4.ResumenTiposInfraestructura'!N16</f>
        <v>3101</v>
      </c>
      <c r="E15" s="92"/>
    </row>
    <row r="16" spans="2:9">
      <c r="B16" s="93" t="s">
        <v>30</v>
      </c>
      <c r="C16" s="90" t="s">
        <v>20</v>
      </c>
      <c r="D16" s="91">
        <f>'4.ResumenTiposInfraestructura'!N17</f>
        <v>555776</v>
      </c>
      <c r="E16" s="92"/>
    </row>
    <row r="17" spans="2:5">
      <c r="B17" s="98" t="s">
        <v>15</v>
      </c>
      <c r="C17" s="90" t="s">
        <v>20</v>
      </c>
      <c r="D17" s="91">
        <f>'4.ResumenTiposInfraestructura'!N18</f>
        <v>426203</v>
      </c>
      <c r="E17" s="99"/>
    </row>
    <row r="18" spans="2:5">
      <c r="B18" s="165" t="s">
        <v>32</v>
      </c>
      <c r="C18" s="166"/>
      <c r="D18" s="166"/>
      <c r="E18" s="167"/>
    </row>
    <row r="19" spans="2:5">
      <c r="B19" s="89" t="s">
        <v>33</v>
      </c>
      <c r="C19" s="90" t="s">
        <v>27</v>
      </c>
      <c r="D19" s="91">
        <f>'4.ResumenTiposInfraestructura'!N20</f>
        <v>0</v>
      </c>
      <c r="E19" s="92"/>
    </row>
    <row r="20" spans="2:5">
      <c r="B20" s="89" t="s">
        <v>34</v>
      </c>
      <c r="C20" s="90" t="s">
        <v>18</v>
      </c>
      <c r="D20" s="91">
        <f>'4.ResumenTiposInfraestructura'!N21</f>
        <v>36</v>
      </c>
      <c r="E20" s="92"/>
    </row>
    <row r="21" spans="2:5">
      <c r="B21" s="89" t="s">
        <v>35</v>
      </c>
      <c r="C21" s="90" t="s">
        <v>20</v>
      </c>
      <c r="D21" s="91">
        <f>'4.ResumenTiposInfraestructura'!N22</f>
        <v>0</v>
      </c>
      <c r="E21" s="92"/>
    </row>
    <row r="22" spans="2:5">
      <c r="B22" s="89" t="s">
        <v>36</v>
      </c>
      <c r="C22" s="90" t="s">
        <v>20</v>
      </c>
      <c r="D22" s="91">
        <f>'4.ResumenTiposInfraestructura'!N23</f>
        <v>85040</v>
      </c>
      <c r="E22" s="92"/>
    </row>
    <row r="23" spans="2:5">
      <c r="B23" s="89" t="s">
        <v>37</v>
      </c>
      <c r="C23" s="90" t="s">
        <v>20</v>
      </c>
      <c r="D23" s="91">
        <f>'4.ResumenTiposInfraestructura'!N24</f>
        <v>5246</v>
      </c>
      <c r="E23" s="92"/>
    </row>
    <row r="24" spans="2:5">
      <c r="B24" s="93" t="s">
        <v>38</v>
      </c>
      <c r="C24" s="90" t="s">
        <v>18</v>
      </c>
      <c r="D24" s="91">
        <f>'4.ResumenTiposInfraestructura'!N25</f>
        <v>42</v>
      </c>
      <c r="E24" s="92"/>
    </row>
    <row r="25" spans="2:5">
      <c r="B25" s="89" t="s">
        <v>39</v>
      </c>
      <c r="C25" s="90" t="s">
        <v>20</v>
      </c>
      <c r="D25" s="91">
        <f>'4.ResumenTiposInfraestructura'!N26</f>
        <v>9124</v>
      </c>
      <c r="E25" s="92"/>
    </row>
    <row r="26" spans="2:5">
      <c r="B26" s="100" t="s">
        <v>31</v>
      </c>
      <c r="C26" s="101"/>
      <c r="D26" s="91">
        <f>'4.ResumenTiposInfraestructura'!N27</f>
        <v>0</v>
      </c>
      <c r="E26" s="102"/>
    </row>
    <row r="27" spans="2:5">
      <c r="B27" s="165" t="s">
        <v>40</v>
      </c>
      <c r="C27" s="166"/>
      <c r="D27" s="166"/>
      <c r="E27" s="103"/>
    </row>
    <row r="28" spans="2:5">
      <c r="B28" s="89" t="s">
        <v>41</v>
      </c>
      <c r="C28" s="90" t="s">
        <v>18</v>
      </c>
      <c r="D28" s="91">
        <f>'4.ResumenTiposInfraestructura'!N29</f>
        <v>2123</v>
      </c>
      <c r="E28" s="92"/>
    </row>
    <row r="29" spans="2:5">
      <c r="B29" s="89" t="s">
        <v>42</v>
      </c>
      <c r="C29" s="90" t="s">
        <v>18</v>
      </c>
      <c r="D29" s="91">
        <f>'4.ResumenTiposInfraestructura'!N30</f>
        <v>41</v>
      </c>
      <c r="E29" s="92"/>
    </row>
    <row r="30" spans="2:5">
      <c r="B30" s="89" t="s">
        <v>43</v>
      </c>
      <c r="C30" s="90" t="s">
        <v>27</v>
      </c>
      <c r="D30" s="91">
        <f>'4.ResumenTiposInfraestructura'!N31</f>
        <v>14564</v>
      </c>
      <c r="E30" s="92"/>
    </row>
    <row r="31" spans="2:5">
      <c r="B31" s="89" t="s">
        <v>44</v>
      </c>
      <c r="C31" s="90" t="s">
        <v>18</v>
      </c>
      <c r="D31" s="91">
        <f>'4.ResumenTiposInfraestructura'!N32</f>
        <v>1330</v>
      </c>
      <c r="E31" s="92"/>
    </row>
    <row r="32" spans="2:5">
      <c r="B32" s="89" t="s">
        <v>45</v>
      </c>
      <c r="C32" s="90" t="s">
        <v>18</v>
      </c>
      <c r="D32" s="91">
        <f>'4.ResumenTiposInfraestructura'!N33</f>
        <v>308</v>
      </c>
      <c r="E32" s="92"/>
    </row>
    <row r="33" spans="2:5">
      <c r="B33" s="89" t="s">
        <v>46</v>
      </c>
      <c r="C33" s="90" t="s">
        <v>18</v>
      </c>
      <c r="D33" s="91">
        <f>'4.ResumenTiposInfraestructura'!N34</f>
        <v>114</v>
      </c>
      <c r="E33" s="92"/>
    </row>
    <row r="34" spans="2:5">
      <c r="B34" s="89" t="s">
        <v>47</v>
      </c>
      <c r="C34" s="90" t="s">
        <v>18</v>
      </c>
      <c r="D34" s="91">
        <f>'4.ResumenTiposInfraestructura'!N35</f>
        <v>130</v>
      </c>
      <c r="E34" s="92"/>
    </row>
    <row r="35" spans="2:5">
      <c r="B35" s="89" t="s">
        <v>48</v>
      </c>
      <c r="C35" s="90" t="s">
        <v>18</v>
      </c>
      <c r="D35" s="91">
        <f>'4.ResumenTiposInfraestructura'!N36</f>
        <v>95</v>
      </c>
      <c r="E35" s="92"/>
    </row>
    <row r="36" spans="2:5">
      <c r="B36" s="89" t="s">
        <v>49</v>
      </c>
      <c r="C36" s="90" t="s">
        <v>18</v>
      </c>
      <c r="D36" s="91">
        <f>'4.ResumenTiposInfraestructura'!N37</f>
        <v>88</v>
      </c>
      <c r="E36" s="92"/>
    </row>
    <row r="37" spans="2:5">
      <c r="B37" s="89" t="s">
        <v>50</v>
      </c>
      <c r="C37" s="90" t="s">
        <v>18</v>
      </c>
      <c r="D37" s="91">
        <f>'4.ResumenTiposInfraestructura'!N38</f>
        <v>146</v>
      </c>
      <c r="E37" s="92"/>
    </row>
    <row r="38" spans="2:5">
      <c r="B38" s="100" t="s">
        <v>31</v>
      </c>
      <c r="C38" s="101"/>
      <c r="D38" s="91">
        <f>'4.ResumenTiposInfraestructura'!N39</f>
        <v>0</v>
      </c>
      <c r="E38" s="102"/>
    </row>
    <row r="39" spans="2:5">
      <c r="B39" s="165" t="s">
        <v>51</v>
      </c>
      <c r="C39" s="166"/>
      <c r="D39" s="166"/>
      <c r="E39" s="167"/>
    </row>
    <row r="40" spans="2:5">
      <c r="B40" s="100" t="s">
        <v>52</v>
      </c>
      <c r="C40" s="104" t="s">
        <v>20</v>
      </c>
      <c r="D40" s="105">
        <f>'4.ResumenTiposInfraestructura'!N41</f>
        <v>1448770</v>
      </c>
      <c r="E40" s="102"/>
    </row>
    <row r="41" spans="2:5">
      <c r="D41" s="71"/>
    </row>
    <row r="43" spans="2:5">
      <c r="D43" s="71"/>
    </row>
  </sheetData>
  <mergeCells count="6">
    <mergeCell ref="B39:E39"/>
    <mergeCell ref="B1:E1"/>
    <mergeCell ref="B3:E3"/>
    <mergeCell ref="B5:E5"/>
    <mergeCell ref="B18:E18"/>
    <mergeCell ref="B27:D27"/>
  </mergeCells>
  <pageMargins left="0.7" right="0.7" top="0.75" bottom="0.75" header="0.3" footer="0.3"/>
  <pageSetup paperSize="9" scale="66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"/>
  <sheetViews>
    <sheetView topLeftCell="A7" workbookViewId="0">
      <selection activeCell="I19" sqref="I19"/>
    </sheetView>
  </sheetViews>
  <sheetFormatPr baseColWidth="10" defaultColWidth="11" defaultRowHeight="14.4"/>
  <cols>
    <col min="1" max="1" width="3.21875" customWidth="1"/>
    <col min="2" max="2" width="29.6640625" customWidth="1"/>
    <col min="3" max="4" width="11.6640625" customWidth="1"/>
    <col min="5" max="5" width="13.5546875" customWidth="1"/>
    <col min="6" max="6" width="17" customWidth="1"/>
    <col min="7" max="7" width="11.5546875" customWidth="1"/>
    <col min="8" max="8" width="12.44140625" customWidth="1"/>
  </cols>
  <sheetData>
    <row r="1" spans="2:10">
      <c r="B1" s="146" t="s">
        <v>57</v>
      </c>
      <c r="C1" s="146"/>
      <c r="D1" s="146"/>
      <c r="E1" s="146"/>
      <c r="F1" s="146"/>
      <c r="G1" s="146"/>
      <c r="H1" s="146"/>
      <c r="I1" s="146"/>
      <c r="J1" s="146"/>
    </row>
    <row r="2" spans="2:10" ht="6" customHeight="1">
      <c r="D2" s="71"/>
    </row>
    <row r="3" spans="2:10">
      <c r="B3" s="168" t="s">
        <v>58</v>
      </c>
      <c r="C3" s="72"/>
      <c r="D3" s="72"/>
      <c r="E3" s="73"/>
      <c r="F3" s="169" t="s">
        <v>59</v>
      </c>
      <c r="G3" s="169" t="s">
        <v>60</v>
      </c>
      <c r="H3" s="169" t="s">
        <v>61</v>
      </c>
      <c r="I3" s="81"/>
      <c r="J3" s="82"/>
    </row>
    <row r="4" spans="2:10" ht="24">
      <c r="B4" s="168"/>
      <c r="C4" s="74" t="s">
        <v>62</v>
      </c>
      <c r="D4" s="74" t="s">
        <v>63</v>
      </c>
      <c r="E4" s="74" t="s">
        <v>36</v>
      </c>
      <c r="F4" s="169"/>
      <c r="G4" s="169"/>
      <c r="H4" s="169"/>
      <c r="I4" s="74" t="s">
        <v>31</v>
      </c>
      <c r="J4" s="83" t="s">
        <v>64</v>
      </c>
    </row>
    <row r="5" spans="2:10" ht="19.2" customHeight="1">
      <c r="B5" s="168"/>
      <c r="C5" s="75"/>
      <c r="D5" s="75"/>
      <c r="E5" s="75"/>
      <c r="F5" s="170"/>
      <c r="G5" s="170"/>
      <c r="H5" s="170"/>
      <c r="I5" s="75"/>
      <c r="J5" s="84"/>
    </row>
    <row r="6" spans="2:10">
      <c r="B6" s="168"/>
      <c r="C6" s="76" t="s">
        <v>65</v>
      </c>
      <c r="D6" s="76" t="s">
        <v>65</v>
      </c>
      <c r="E6" s="76" t="s">
        <v>65</v>
      </c>
      <c r="F6" s="76" t="s">
        <v>65</v>
      </c>
      <c r="G6" s="76" t="s">
        <v>65</v>
      </c>
      <c r="H6" s="76" t="s">
        <v>65</v>
      </c>
      <c r="I6" s="76" t="s">
        <v>65</v>
      </c>
      <c r="J6" s="85"/>
    </row>
    <row r="7" spans="2:10" ht="33.6" customHeight="1">
      <c r="B7" s="77" t="s">
        <v>6</v>
      </c>
      <c r="C7" s="78"/>
      <c r="D7" s="78">
        <v>182230</v>
      </c>
      <c r="E7" s="78">
        <v>21352</v>
      </c>
      <c r="F7" s="78"/>
      <c r="G7" s="78">
        <v>2173</v>
      </c>
      <c r="H7" s="78">
        <v>1523</v>
      </c>
      <c r="I7" s="78">
        <v>4265</v>
      </c>
      <c r="J7" s="78">
        <f>SUM(C7:I7)</f>
        <v>211543</v>
      </c>
    </row>
    <row r="8" spans="2:10" ht="33.6" customHeight="1">
      <c r="B8" s="77" t="s">
        <v>7</v>
      </c>
      <c r="C8" s="78"/>
      <c r="D8" s="78">
        <v>53479</v>
      </c>
      <c r="E8" s="78">
        <v>21584</v>
      </c>
      <c r="F8" s="78">
        <v>2158</v>
      </c>
      <c r="G8" s="78">
        <v>1303</v>
      </c>
      <c r="H8" s="78"/>
      <c r="I8" s="78"/>
      <c r="J8" s="78">
        <f t="shared" ref="J8:J16" si="0">SUM(C8:I8)</f>
        <v>78524</v>
      </c>
    </row>
    <row r="9" spans="2:10" ht="33.6" customHeight="1">
      <c r="B9" s="77" t="s">
        <v>66</v>
      </c>
      <c r="C9" s="78"/>
      <c r="D9" s="78">
        <v>271962</v>
      </c>
      <c r="E9" s="78">
        <v>19523</v>
      </c>
      <c r="F9" s="78"/>
      <c r="G9" s="78">
        <v>1738</v>
      </c>
      <c r="H9" s="78"/>
      <c r="I9" s="78">
        <v>8794</v>
      </c>
      <c r="J9" s="78">
        <f t="shared" si="0"/>
        <v>302017</v>
      </c>
    </row>
    <row r="10" spans="2:10" ht="33.6" customHeight="1">
      <c r="B10" s="77" t="s">
        <v>9</v>
      </c>
      <c r="C10" s="78">
        <v>3500</v>
      </c>
      <c r="D10" s="78">
        <f>9596+25000</f>
        <v>34596</v>
      </c>
      <c r="E10" s="78">
        <v>5318</v>
      </c>
      <c r="F10" s="78"/>
      <c r="G10" s="78">
        <v>434</v>
      </c>
      <c r="H10" s="78"/>
      <c r="I10" s="78">
        <v>6152</v>
      </c>
      <c r="J10" s="78">
        <f t="shared" si="0"/>
        <v>50000</v>
      </c>
    </row>
    <row r="11" spans="2:10" ht="33.6" customHeight="1">
      <c r="B11" s="77" t="s">
        <v>10</v>
      </c>
      <c r="C11" s="78">
        <f>'4.ResumenTiposInfraestructura'!H15</f>
        <v>159900</v>
      </c>
      <c r="D11" s="78">
        <f>187673-86426</f>
        <v>101247</v>
      </c>
      <c r="E11" s="78">
        <v>9526</v>
      </c>
      <c r="F11" s="78"/>
      <c r="G11" s="78">
        <v>869</v>
      </c>
      <c r="H11" s="78"/>
      <c r="I11" s="78"/>
      <c r="J11" s="78">
        <f t="shared" si="0"/>
        <v>271542</v>
      </c>
    </row>
    <row r="12" spans="2:10" ht="33.6" customHeight="1">
      <c r="B12" s="77" t="s">
        <v>11</v>
      </c>
      <c r="C12" s="78"/>
      <c r="D12" s="78">
        <v>117010</v>
      </c>
      <c r="E12" s="78">
        <f>13300+529</f>
        <v>13829</v>
      </c>
      <c r="F12" s="78"/>
      <c r="G12" s="78">
        <v>2607</v>
      </c>
      <c r="H12" s="78"/>
      <c r="I12" s="78">
        <f>609619-529</f>
        <v>609090</v>
      </c>
      <c r="J12" s="78">
        <f t="shared" si="0"/>
        <v>742536</v>
      </c>
    </row>
    <row r="13" spans="2:10" ht="33.6" customHeight="1">
      <c r="B13" s="77" t="s">
        <v>12</v>
      </c>
      <c r="C13" s="78"/>
      <c r="D13" s="78">
        <v>35962</v>
      </c>
      <c r="E13" s="78">
        <v>385</v>
      </c>
      <c r="F13" s="78"/>
      <c r="G13" s="78">
        <v>0</v>
      </c>
      <c r="H13" s="78"/>
      <c r="I13" s="78">
        <v>44215</v>
      </c>
      <c r="J13" s="78">
        <f t="shared" si="0"/>
        <v>80562</v>
      </c>
    </row>
    <row r="14" spans="2:10" ht="33.6" customHeight="1">
      <c r="B14" s="77" t="s">
        <v>13</v>
      </c>
      <c r="C14" s="78"/>
      <c r="D14" s="78">
        <v>40806</v>
      </c>
      <c r="E14" s="78">
        <v>3753</v>
      </c>
      <c r="F14" s="78">
        <v>80205</v>
      </c>
      <c r="G14" s="78">
        <v>0</v>
      </c>
      <c r="H14" s="78"/>
      <c r="I14" s="78">
        <v>920</v>
      </c>
      <c r="J14" s="78">
        <f t="shared" si="0"/>
        <v>125684</v>
      </c>
    </row>
    <row r="15" spans="2:10" ht="33.6" customHeight="1">
      <c r="B15" s="77" t="s">
        <v>14</v>
      </c>
      <c r="C15" s="78"/>
      <c r="D15" s="78">
        <v>82</v>
      </c>
      <c r="E15" s="78"/>
      <c r="F15" s="78"/>
      <c r="G15" s="78"/>
      <c r="H15" s="78"/>
      <c r="I15" s="78"/>
      <c r="J15" s="78">
        <f t="shared" si="0"/>
        <v>82</v>
      </c>
    </row>
    <row r="16" spans="2:10" ht="33.6" customHeight="1">
      <c r="B16" s="77" t="s">
        <v>15</v>
      </c>
      <c r="C16" s="78"/>
      <c r="D16" s="78"/>
      <c r="E16" s="78"/>
      <c r="F16" s="78"/>
      <c r="G16" s="78"/>
      <c r="H16" s="78"/>
      <c r="I16" s="78"/>
      <c r="J16" s="78">
        <f t="shared" si="0"/>
        <v>0</v>
      </c>
    </row>
    <row r="17" spans="2:10">
      <c r="B17" s="79" t="s">
        <v>55</v>
      </c>
      <c r="C17" s="80">
        <f>SUM(C7:C16)</f>
        <v>163400</v>
      </c>
      <c r="D17" s="80">
        <f t="shared" ref="D17:J17" si="1">SUM(D7:D16)</f>
        <v>837374</v>
      </c>
      <c r="E17" s="80">
        <f t="shared" si="1"/>
        <v>95270</v>
      </c>
      <c r="F17" s="80">
        <f t="shared" si="1"/>
        <v>82363</v>
      </c>
      <c r="G17" s="80">
        <f t="shared" si="1"/>
        <v>9124</v>
      </c>
      <c r="H17" s="80">
        <f t="shared" si="1"/>
        <v>1523</v>
      </c>
      <c r="I17" s="80">
        <f t="shared" si="1"/>
        <v>673436</v>
      </c>
      <c r="J17" s="86">
        <f t="shared" si="1"/>
        <v>1862490</v>
      </c>
    </row>
  </sheetData>
  <mergeCells count="5">
    <mergeCell ref="B1:J1"/>
    <mergeCell ref="B3:B6"/>
    <mergeCell ref="F3:F5"/>
    <mergeCell ref="G3:G5"/>
    <mergeCell ref="H3:H5"/>
  </mergeCells>
  <pageMargins left="0.7" right="0.7" top="0.75" bottom="0.75" header="0.3" footer="0.3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35"/>
  <sheetViews>
    <sheetView topLeftCell="A4" zoomScale="80" zoomScaleNormal="80" workbookViewId="0">
      <selection activeCell="E25" sqref="E25"/>
    </sheetView>
  </sheetViews>
  <sheetFormatPr baseColWidth="10" defaultColWidth="11" defaultRowHeight="14.4"/>
  <cols>
    <col min="2" max="2" width="34.6640625" customWidth="1"/>
    <col min="3" max="3" width="11.88671875" customWidth="1"/>
    <col min="5" max="5" width="13.109375" customWidth="1"/>
    <col min="11" max="11" width="13.109375" customWidth="1"/>
  </cols>
  <sheetData>
    <row r="1" spans="2:18">
      <c r="B1" s="145" t="s">
        <v>67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2:18" ht="5.4" customHeight="1"/>
    <row r="3" spans="2:18" ht="24.75" customHeight="1">
      <c r="B3" s="176" t="s">
        <v>58</v>
      </c>
      <c r="C3" s="179" t="s">
        <v>68</v>
      </c>
      <c r="D3" s="182" t="s">
        <v>69</v>
      </c>
      <c r="E3" s="185" t="s">
        <v>70</v>
      </c>
      <c r="F3" s="188" t="s">
        <v>71</v>
      </c>
      <c r="G3" s="189"/>
      <c r="H3" s="190"/>
      <c r="I3" s="194" t="s">
        <v>72</v>
      </c>
      <c r="J3" s="194"/>
      <c r="K3" s="194"/>
      <c r="L3" s="195"/>
      <c r="M3" s="194" t="s">
        <v>73</v>
      </c>
      <c r="N3" s="194"/>
      <c r="O3" s="194"/>
      <c r="P3" s="194"/>
      <c r="Q3" s="194"/>
      <c r="R3" s="198"/>
    </row>
    <row r="4" spans="2:18">
      <c r="B4" s="177"/>
      <c r="C4" s="180"/>
      <c r="D4" s="183"/>
      <c r="E4" s="186"/>
      <c r="F4" s="191"/>
      <c r="G4" s="192"/>
      <c r="H4" s="193"/>
      <c r="I4" s="196"/>
      <c r="J4" s="196"/>
      <c r="K4" s="196"/>
      <c r="L4" s="197"/>
      <c r="M4" s="196"/>
      <c r="N4" s="196"/>
      <c r="O4" s="196"/>
      <c r="P4" s="196"/>
      <c r="Q4" s="196"/>
      <c r="R4" s="163"/>
    </row>
    <row r="5" spans="2:18" ht="24.6" customHeight="1">
      <c r="B5" s="177"/>
      <c r="C5" s="180"/>
      <c r="D5" s="183"/>
      <c r="E5" s="186"/>
      <c r="F5" s="191"/>
      <c r="G5" s="192"/>
      <c r="H5" s="193"/>
      <c r="I5" s="196"/>
      <c r="J5" s="196"/>
      <c r="K5" s="196"/>
      <c r="L5" s="197"/>
      <c r="M5" s="196"/>
      <c r="N5" s="196"/>
      <c r="O5" s="196"/>
      <c r="P5" s="196"/>
      <c r="Q5" s="196"/>
      <c r="R5" s="163"/>
    </row>
    <row r="6" spans="2:18" ht="36.6" customHeight="1">
      <c r="B6" s="178"/>
      <c r="C6" s="181"/>
      <c r="D6" s="184"/>
      <c r="E6" s="187"/>
      <c r="F6" s="1" t="s">
        <v>74</v>
      </c>
      <c r="G6" s="2" t="s">
        <v>75</v>
      </c>
      <c r="H6" s="3" t="s">
        <v>103</v>
      </c>
      <c r="I6" s="53" t="s">
        <v>76</v>
      </c>
      <c r="J6" s="54" t="s">
        <v>77</v>
      </c>
      <c r="K6" s="54" t="s">
        <v>78</v>
      </c>
      <c r="L6" s="55" t="s">
        <v>104</v>
      </c>
      <c r="M6" s="56" t="s">
        <v>79</v>
      </c>
      <c r="N6" s="57" t="s">
        <v>80</v>
      </c>
      <c r="O6" s="57" t="s">
        <v>81</v>
      </c>
      <c r="P6" s="57" t="s">
        <v>82</v>
      </c>
      <c r="Q6" s="57" t="s">
        <v>83</v>
      </c>
      <c r="R6" s="65" t="s">
        <v>84</v>
      </c>
    </row>
    <row r="7" spans="2:18">
      <c r="B7" s="4" t="s">
        <v>6</v>
      </c>
      <c r="C7" s="5">
        <f>'6.TipologiasConservacion'!J7</f>
        <v>211543</v>
      </c>
      <c r="D7" s="6">
        <v>0.7</v>
      </c>
      <c r="E7" s="7">
        <f>(C7/10000)*D7</f>
        <v>14.808009999999998</v>
      </c>
      <c r="F7" s="8">
        <f>+E7*0.05</f>
        <v>0.74040049999999991</v>
      </c>
      <c r="G7" s="8">
        <f>+(E7-F7)*G$25</f>
        <v>2.3252247107438015</v>
      </c>
      <c r="H7" s="9">
        <f>+(E7-F7)*H$25</f>
        <v>11.626123553719006</v>
      </c>
      <c r="I7" s="8">
        <f>+F7</f>
        <v>0.74040049999999991</v>
      </c>
      <c r="J7" s="58">
        <f>+G7</f>
        <v>2.3252247107438015</v>
      </c>
      <c r="K7" s="58"/>
      <c r="L7" s="59"/>
      <c r="M7" s="60">
        <f>+(C7+C8+C9)/200000</f>
        <v>2.9604200000000001</v>
      </c>
      <c r="N7" s="60"/>
      <c r="O7" s="60"/>
      <c r="P7" s="60">
        <f>+(C7+C8+C9+C10)/100000</f>
        <v>6.4208400000000001</v>
      </c>
      <c r="Q7" s="60">
        <f>+(C7+C8+C9+C10)/200000</f>
        <v>3.2104200000000001</v>
      </c>
      <c r="R7" s="66">
        <f>+(C7+C8+C9+C10)/500000</f>
        <v>1.284168</v>
      </c>
    </row>
    <row r="8" spans="2:18">
      <c r="B8" s="4" t="s">
        <v>7</v>
      </c>
      <c r="C8" s="5">
        <f>'6.TipologiasConservacion'!J8</f>
        <v>78524</v>
      </c>
      <c r="D8" s="10">
        <v>0.6</v>
      </c>
      <c r="E8" s="7">
        <f t="shared" ref="E8:E15" si="0">(C8/10000)*D8</f>
        <v>4.7114399999999996</v>
      </c>
      <c r="F8" s="11">
        <f t="shared" ref="F8:F14" si="1">+E8*0.05</f>
        <v>0.235572</v>
      </c>
      <c r="G8" s="11">
        <f>+(E8-F8)*G$25</f>
        <v>0.73981289256198335</v>
      </c>
      <c r="H8" s="7">
        <f>+(E8-F8)*H$25</f>
        <v>3.699064462809917</v>
      </c>
      <c r="I8" s="11">
        <f t="shared" ref="I8:J14" si="2">+F8</f>
        <v>0.235572</v>
      </c>
      <c r="J8" s="5">
        <f t="shared" si="2"/>
        <v>0.73981289256198335</v>
      </c>
      <c r="K8" s="5"/>
      <c r="L8" s="61">
        <f>+G8</f>
        <v>0.73981289256198335</v>
      </c>
      <c r="M8" s="62"/>
      <c r="N8" s="62"/>
      <c r="O8" s="62"/>
      <c r="P8" s="62"/>
      <c r="Q8" s="62"/>
      <c r="R8" s="67"/>
    </row>
    <row r="9" spans="2:18">
      <c r="B9" s="4" t="s">
        <v>66</v>
      </c>
      <c r="C9" s="5">
        <f>'6.TipologiasConservacion'!J9</f>
        <v>302017</v>
      </c>
      <c r="D9" s="12">
        <v>0.75</v>
      </c>
      <c r="E9" s="7">
        <f t="shared" si="0"/>
        <v>22.651274999999998</v>
      </c>
      <c r="F9" s="11">
        <f t="shared" si="1"/>
        <v>1.1325637499999999</v>
      </c>
      <c r="G9" s="11">
        <f>+(E9-F9)*G$25</f>
        <v>3.556811776859504</v>
      </c>
      <c r="H9" s="7">
        <f>+(E9-F9)*H$25</f>
        <v>17.784058884297519</v>
      </c>
      <c r="I9" s="11">
        <f t="shared" si="2"/>
        <v>1.1325637499999999</v>
      </c>
      <c r="J9" s="5">
        <f t="shared" si="2"/>
        <v>3.556811776859504</v>
      </c>
      <c r="K9" s="5"/>
      <c r="L9" s="61"/>
      <c r="M9" s="62"/>
      <c r="N9" s="62"/>
      <c r="O9" s="62"/>
      <c r="P9" s="62"/>
      <c r="Q9" s="62"/>
      <c r="R9" s="67"/>
    </row>
    <row r="10" spans="2:18">
      <c r="B10" s="4" t="s">
        <v>9</v>
      </c>
      <c r="C10" s="5">
        <f>'6.TipologiasConservacion'!J10</f>
        <v>50000</v>
      </c>
      <c r="D10" s="10">
        <v>0.85</v>
      </c>
      <c r="E10" s="7">
        <f t="shared" si="0"/>
        <v>4.25</v>
      </c>
      <c r="F10" s="11">
        <f t="shared" si="1"/>
        <v>0.21250000000000002</v>
      </c>
      <c r="G10" s="11">
        <f>+(E10-F10)*G$26</f>
        <v>0.99691358024691357</v>
      </c>
      <c r="H10" s="7">
        <f>+(E10-F10)*H$26</f>
        <v>2.9907407407407409</v>
      </c>
      <c r="I10" s="11">
        <f t="shared" si="2"/>
        <v>0.21250000000000002</v>
      </c>
      <c r="J10" s="5">
        <f t="shared" si="2"/>
        <v>0.99691358024691357</v>
      </c>
      <c r="K10" s="5"/>
      <c r="L10" s="61"/>
      <c r="M10" s="62">
        <f>+G10</f>
        <v>0.99691358024691357</v>
      </c>
      <c r="N10" s="62"/>
      <c r="O10" s="62"/>
      <c r="P10" s="62"/>
      <c r="Q10" s="62"/>
      <c r="R10" s="67"/>
    </row>
    <row r="11" spans="2:18">
      <c r="B11" s="4" t="s">
        <v>10</v>
      </c>
      <c r="C11" s="5">
        <f>'6.TipologiasConservacion'!J11</f>
        <v>271542</v>
      </c>
      <c r="D11" s="10">
        <v>0.5</v>
      </c>
      <c r="E11" s="7">
        <f t="shared" si="0"/>
        <v>13.5771</v>
      </c>
      <c r="F11" s="11">
        <f t="shared" si="1"/>
        <v>0.67885499999999999</v>
      </c>
      <c r="G11" s="11">
        <f>+(E11-F11)*G$27</f>
        <v>1.6022664596273288</v>
      </c>
      <c r="H11" s="7">
        <f>+(E11-F11)*H$27</f>
        <v>11.215865217391304</v>
      </c>
      <c r="I11" s="11">
        <f t="shared" si="2"/>
        <v>0.67885499999999999</v>
      </c>
      <c r="J11" s="5">
        <f t="shared" si="2"/>
        <v>1.6022664596273288</v>
      </c>
      <c r="K11" s="5"/>
      <c r="L11" s="61"/>
      <c r="M11" s="62"/>
      <c r="N11" s="62">
        <f>+H11</f>
        <v>11.215865217391304</v>
      </c>
      <c r="O11" s="62"/>
      <c r="P11" s="62"/>
      <c r="Q11" s="62"/>
      <c r="R11" s="67"/>
    </row>
    <row r="12" spans="2:18">
      <c r="B12" s="13" t="s">
        <v>85</v>
      </c>
      <c r="C12" s="14">
        <f>'6.TipologiasConservacion'!J12*0.1</f>
        <v>74253.600000000006</v>
      </c>
      <c r="D12" s="10">
        <v>0.8</v>
      </c>
      <c r="E12" s="15">
        <f t="shared" si="0"/>
        <v>5.9402880000000007</v>
      </c>
      <c r="F12" s="11">
        <f t="shared" si="1"/>
        <v>0.29701440000000007</v>
      </c>
      <c r="G12" s="11">
        <f>+(E12-F12)*G$28</f>
        <v>2.7528163902439031</v>
      </c>
      <c r="H12" s="15">
        <f>+(E12-F12)*H$28</f>
        <v>2.7528163902439031</v>
      </c>
      <c r="I12" s="11">
        <f t="shared" si="2"/>
        <v>0.29701440000000007</v>
      </c>
      <c r="J12" s="5">
        <v>1</v>
      </c>
      <c r="K12" s="5">
        <v>1</v>
      </c>
      <c r="L12" s="50">
        <v>1</v>
      </c>
      <c r="M12" s="62"/>
      <c r="N12" s="62"/>
      <c r="O12" s="62">
        <v>2</v>
      </c>
      <c r="P12" s="62"/>
      <c r="Q12" s="62"/>
      <c r="R12" s="68"/>
    </row>
    <row r="13" spans="2:18">
      <c r="B13" s="4" t="s">
        <v>12</v>
      </c>
      <c r="C13" s="5">
        <f>'6.TipologiasConservacion'!J13</f>
        <v>80562</v>
      </c>
      <c r="D13" s="10">
        <v>0.8</v>
      </c>
      <c r="E13" s="7">
        <f t="shared" si="0"/>
        <v>6.4449600000000009</v>
      </c>
      <c r="F13" s="11">
        <f t="shared" si="1"/>
        <v>0.32224800000000009</v>
      </c>
      <c r="G13" s="11">
        <f>+(E13-F13)*G$25</f>
        <v>1.0120185123966943</v>
      </c>
      <c r="H13" s="7">
        <f>+(E13-F13)*H$25</f>
        <v>5.0600925619834722</v>
      </c>
      <c r="I13" s="11">
        <f t="shared" si="2"/>
        <v>0.32224800000000009</v>
      </c>
      <c r="J13" s="5">
        <f t="shared" si="2"/>
        <v>1.0120185123966943</v>
      </c>
      <c r="K13" s="5"/>
      <c r="L13" s="61"/>
      <c r="M13" s="62">
        <f>+(C13+C14)/200000</f>
        <v>1.0312300000000001</v>
      </c>
      <c r="N13" s="62"/>
      <c r="O13" s="62"/>
      <c r="P13" s="62">
        <f>+(C13+C14)/100000</f>
        <v>2.0624600000000002</v>
      </c>
      <c r="Q13" s="62">
        <f>+(C13+C14)/200000</f>
        <v>1.0312300000000001</v>
      </c>
      <c r="R13" s="67">
        <f>+(C13+C14)/500000</f>
        <v>0.41249200000000003</v>
      </c>
    </row>
    <row r="14" spans="2:18">
      <c r="B14" s="4" t="s">
        <v>13</v>
      </c>
      <c r="C14" s="5">
        <f>'6.TipologiasConservacion'!J14</f>
        <v>125684</v>
      </c>
      <c r="D14" s="10">
        <v>0.8</v>
      </c>
      <c r="E14" s="7">
        <f t="shared" si="0"/>
        <v>10.054720000000001</v>
      </c>
      <c r="F14" s="11">
        <f t="shared" si="1"/>
        <v>0.50273600000000007</v>
      </c>
      <c r="G14" s="11">
        <f>+(E14-F14)*G$25</f>
        <v>1.5788403305785126</v>
      </c>
      <c r="H14" s="7">
        <f>+(E14-F14)*H$25</f>
        <v>7.8942016528925629</v>
      </c>
      <c r="I14" s="11">
        <f t="shared" si="2"/>
        <v>0.50273600000000007</v>
      </c>
      <c r="J14" s="5"/>
      <c r="K14" s="5"/>
      <c r="L14" s="61"/>
      <c r="M14" s="62"/>
      <c r="N14" s="62"/>
      <c r="O14" s="62"/>
      <c r="P14" s="62"/>
      <c r="Q14" s="62"/>
      <c r="R14" s="67"/>
    </row>
    <row r="15" spans="2:18">
      <c r="B15" s="4" t="s">
        <v>14</v>
      </c>
      <c r="C15" s="5">
        <f>'6.TipologiasConservacion'!J15</f>
        <v>82</v>
      </c>
      <c r="D15" s="10">
        <v>9.5</v>
      </c>
      <c r="E15" s="7">
        <f t="shared" si="0"/>
        <v>7.7900000000000011E-2</v>
      </c>
      <c r="F15" s="11"/>
      <c r="G15" s="11"/>
      <c r="H15" s="7"/>
      <c r="I15" s="11"/>
      <c r="J15" s="5"/>
      <c r="K15" s="5"/>
      <c r="L15" s="61"/>
      <c r="M15" s="62"/>
      <c r="N15" s="62"/>
      <c r="O15" s="62"/>
      <c r="P15" s="62"/>
      <c r="Q15" s="62"/>
      <c r="R15" s="67"/>
    </row>
    <row r="16" spans="2:18">
      <c r="B16" s="4" t="s">
        <v>15</v>
      </c>
      <c r="C16" s="16">
        <f>'6.TipologiasConservacion'!J16</f>
        <v>0</v>
      </c>
      <c r="D16" s="17"/>
      <c r="E16" s="18"/>
      <c r="F16" s="19"/>
      <c r="G16" s="19"/>
      <c r="H16" s="18"/>
      <c r="I16" s="19"/>
      <c r="J16" s="16"/>
      <c r="K16" s="16"/>
      <c r="L16" s="63"/>
      <c r="M16" s="64"/>
      <c r="N16" s="64"/>
      <c r="O16" s="64"/>
      <c r="P16" s="64"/>
      <c r="Q16" s="64"/>
      <c r="R16" s="69"/>
    </row>
    <row r="17" spans="2:18">
      <c r="B17" s="20" t="s">
        <v>55</v>
      </c>
      <c r="C17" s="21">
        <f>'6.TipologiasConservacion'!J17</f>
        <v>1862490</v>
      </c>
      <c r="D17" s="22"/>
      <c r="E17" s="22">
        <f>SUM(E7:E14)</f>
        <v>82.437792999999999</v>
      </c>
      <c r="F17" s="22">
        <f>SUM(F7:F14)</f>
        <v>4.12188965</v>
      </c>
      <c r="G17" s="22">
        <f t="shared" ref="G17:R17" si="3">SUM(G7:G14)</f>
        <v>14.564704653258641</v>
      </c>
      <c r="H17" s="22">
        <f t="shared" si="3"/>
        <v>63.022963464078423</v>
      </c>
      <c r="I17" s="22">
        <f t="shared" si="3"/>
        <v>4.12188965</v>
      </c>
      <c r="J17" s="22">
        <f t="shared" si="3"/>
        <v>11.233047932436225</v>
      </c>
      <c r="K17" s="22">
        <f t="shared" si="3"/>
        <v>1</v>
      </c>
      <c r="L17" s="22">
        <f t="shared" si="3"/>
        <v>1.7398128925619833</v>
      </c>
      <c r="M17" s="22">
        <f t="shared" si="3"/>
        <v>4.9885635802469137</v>
      </c>
      <c r="N17" s="22">
        <f t="shared" si="3"/>
        <v>11.215865217391304</v>
      </c>
      <c r="O17" s="22">
        <f t="shared" si="3"/>
        <v>2</v>
      </c>
      <c r="P17" s="22">
        <f t="shared" si="3"/>
        <v>8.4832999999999998</v>
      </c>
      <c r="Q17" s="22">
        <f t="shared" si="3"/>
        <v>4.2416499999999999</v>
      </c>
      <c r="R17" s="70">
        <f t="shared" si="3"/>
        <v>1.6966600000000001</v>
      </c>
    </row>
    <row r="18" spans="2:18">
      <c r="B18" s="23"/>
      <c r="C18" s="24"/>
      <c r="D18" s="25"/>
      <c r="E18" s="25"/>
      <c r="F18" s="25"/>
      <c r="G18" s="25"/>
      <c r="H18" s="26"/>
      <c r="I18" s="26"/>
      <c r="J18" s="26"/>
      <c r="K18" s="26"/>
      <c r="L18" s="26"/>
      <c r="M18" s="25"/>
      <c r="N18" s="25"/>
      <c r="O18" s="25"/>
      <c r="P18" s="25"/>
      <c r="Q18" s="25"/>
      <c r="R18" s="25"/>
    </row>
    <row r="19" spans="2:18" ht="36">
      <c r="F19" s="199" t="s">
        <v>86</v>
      </c>
      <c r="G19" s="200"/>
      <c r="H19" s="27" t="s">
        <v>87</v>
      </c>
      <c r="I19" s="27">
        <v>5</v>
      </c>
      <c r="J19" s="27">
        <v>5</v>
      </c>
      <c r="K19" s="27">
        <v>2</v>
      </c>
      <c r="L19" s="27">
        <v>2</v>
      </c>
    </row>
    <row r="20" spans="2:18">
      <c r="F20" s="201"/>
      <c r="G20" s="202"/>
      <c r="H20" s="28" t="s">
        <v>88</v>
      </c>
      <c r="I20" s="28">
        <v>20</v>
      </c>
      <c r="J20" s="28">
        <v>55</v>
      </c>
      <c r="K20" s="28">
        <f>+K17*2</f>
        <v>2</v>
      </c>
      <c r="L20" s="28">
        <v>4</v>
      </c>
    </row>
    <row r="23" spans="2:18">
      <c r="B23" s="171" t="s">
        <v>89</v>
      </c>
      <c r="C23" s="172"/>
      <c r="D23" s="172"/>
      <c r="E23" s="172"/>
      <c r="F23" s="173"/>
      <c r="G23" s="173"/>
      <c r="H23" s="174"/>
    </row>
    <row r="24" spans="2:18" ht="22.8">
      <c r="B24" s="29"/>
      <c r="C24" s="30" t="s">
        <v>74</v>
      </c>
      <c r="D24" s="31" t="s">
        <v>75</v>
      </c>
      <c r="E24" s="32" t="s">
        <v>103</v>
      </c>
      <c r="F24" s="33" t="s">
        <v>90</v>
      </c>
      <c r="G24" s="34" t="s">
        <v>75</v>
      </c>
      <c r="H24" s="35" t="s">
        <v>103</v>
      </c>
    </row>
    <row r="25" spans="2:18">
      <c r="B25" s="36" t="s">
        <v>91</v>
      </c>
      <c r="C25" s="37">
        <v>0.05</v>
      </c>
      <c r="D25" s="10">
        <v>1</v>
      </c>
      <c r="E25" s="38">
        <v>5</v>
      </c>
      <c r="F25" s="39">
        <f>SUM(C25:E25)</f>
        <v>6.05</v>
      </c>
      <c r="G25" s="40">
        <f>+D25/F25</f>
        <v>0.16528925619834711</v>
      </c>
      <c r="H25" s="15">
        <f>+E25/F25</f>
        <v>0.82644628099173556</v>
      </c>
    </row>
    <row r="26" spans="2:18">
      <c r="B26" s="36" t="s">
        <v>92</v>
      </c>
      <c r="C26" s="37">
        <v>0.05</v>
      </c>
      <c r="D26" s="10">
        <v>1</v>
      </c>
      <c r="E26" s="38">
        <v>3</v>
      </c>
      <c r="F26" s="39">
        <f>SUM(C26:E26)</f>
        <v>4.05</v>
      </c>
      <c r="G26" s="40">
        <f>+D26/F26</f>
        <v>0.24691358024691359</v>
      </c>
      <c r="H26" s="15">
        <f>+E26/F26</f>
        <v>0.74074074074074081</v>
      </c>
    </row>
    <row r="27" spans="2:18" ht="15.6" customHeight="1">
      <c r="B27" s="36" t="s">
        <v>93</v>
      </c>
      <c r="C27" s="37">
        <v>0.05</v>
      </c>
      <c r="D27" s="10">
        <v>1</v>
      </c>
      <c r="E27" s="38">
        <v>7</v>
      </c>
      <c r="F27" s="39">
        <f t="shared" ref="F27:F28" si="4">SUM(C27:E27)</f>
        <v>8.0500000000000007</v>
      </c>
      <c r="G27" s="40">
        <f t="shared" ref="G27:G28" si="5">+D27/F27</f>
        <v>0.12422360248447203</v>
      </c>
      <c r="H27" s="15">
        <f t="shared" ref="H27:H28" si="6">+E27/F27</f>
        <v>0.86956521739130432</v>
      </c>
    </row>
    <row r="28" spans="2:18">
      <c r="B28" s="41" t="s">
        <v>94</v>
      </c>
      <c r="C28" s="42">
        <v>0.05</v>
      </c>
      <c r="D28" s="43">
        <v>1</v>
      </c>
      <c r="E28" s="44">
        <v>1</v>
      </c>
      <c r="F28" s="45">
        <f t="shared" si="4"/>
        <v>2.0499999999999998</v>
      </c>
      <c r="G28" s="46">
        <f t="shared" si="5"/>
        <v>0.48780487804878053</v>
      </c>
      <c r="H28" s="47">
        <f t="shared" si="6"/>
        <v>0.48780487804878053</v>
      </c>
    </row>
    <row r="30" spans="2:18">
      <c r="B30" s="175" t="s">
        <v>95</v>
      </c>
      <c r="C30" s="175"/>
      <c r="D30" s="175"/>
      <c r="E30" s="175"/>
    </row>
    <row r="31" spans="2:18">
      <c r="B31" s="48" t="s">
        <v>96</v>
      </c>
      <c r="C31" s="30" t="s">
        <v>97</v>
      </c>
      <c r="D31" s="31" t="s">
        <v>98</v>
      </c>
      <c r="E31" s="32" t="s">
        <v>99</v>
      </c>
    </row>
    <row r="32" spans="2:18">
      <c r="B32" s="36" t="s">
        <v>18</v>
      </c>
      <c r="C32" s="49">
        <v>18127</v>
      </c>
      <c r="D32" s="14">
        <f>+C32/3</f>
        <v>6042.333333333333</v>
      </c>
      <c r="E32" s="50">
        <f>+C32-D32</f>
        <v>12084.666666666668</v>
      </c>
    </row>
    <row r="33" spans="2:5">
      <c r="B33" s="36" t="s">
        <v>100</v>
      </c>
      <c r="C33" s="49">
        <v>74254</v>
      </c>
      <c r="D33" s="14">
        <f>+C33/3</f>
        <v>24751.333333333332</v>
      </c>
      <c r="E33" s="50">
        <f>+C33-D33</f>
        <v>49502.666666666672</v>
      </c>
    </row>
    <row r="34" spans="2:5">
      <c r="B34" s="36" t="s">
        <v>101</v>
      </c>
      <c r="C34" s="37">
        <v>0.8</v>
      </c>
      <c r="D34" s="10">
        <v>0.56999999999999995</v>
      </c>
      <c r="E34" s="38">
        <v>0.9</v>
      </c>
    </row>
    <row r="35" spans="2:5">
      <c r="B35" s="51" t="s">
        <v>102</v>
      </c>
      <c r="C35" s="52">
        <f>+(C33/10000)*C34</f>
        <v>5.9403199999999998</v>
      </c>
      <c r="D35" s="52">
        <f>+(D33/10000)*D34</f>
        <v>1.4108259999999999</v>
      </c>
      <c r="E35" s="52">
        <f>+(E33/10000)*E34</f>
        <v>4.4552399999999999</v>
      </c>
    </row>
  </sheetData>
  <mergeCells count="11">
    <mergeCell ref="B1:R1"/>
    <mergeCell ref="B23:H23"/>
    <mergeCell ref="B30:E30"/>
    <mergeCell ref="B3:B6"/>
    <mergeCell ref="C3:C6"/>
    <mergeCell ref="D3:D6"/>
    <mergeCell ref="E3:E6"/>
    <mergeCell ref="F3:H5"/>
    <mergeCell ref="I3:L5"/>
    <mergeCell ref="M3:R5"/>
    <mergeCell ref="F19:G20"/>
  </mergeCells>
  <pageMargins left="0.7" right="0.7" top="0.75" bottom="0.75" header="0.3" footer="0.3"/>
  <pageSetup paperSize="9" scale="4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4.ResumenTiposInfraestructura</vt:lpstr>
      <vt:lpstr>5.ResumenElementos</vt:lpstr>
      <vt:lpstr>6.TipologiasConservacion</vt:lpstr>
      <vt:lpstr>7.CargasTrabajo</vt:lpstr>
      <vt:lpstr>'6.TipologiasConservacion'!_TOC_250010</vt:lpstr>
      <vt:lpstr>'4.ResumenTiposInfraestructura'!_TOC_250011</vt:lpstr>
      <vt:lpstr>'5.ResumenElementos'!_TOC_250011</vt:lpstr>
      <vt:lpstr>'4.ResumenTiposInfraestructura'!Área_de_impresión</vt:lpstr>
      <vt:lpstr>'5.ResumenElementos'!Área_de_impresión</vt:lpstr>
      <vt:lpstr>'6.TipologiasConservacion'!Área_de_impresión</vt:lpstr>
      <vt:lpstr>'7.CargasTrabajo'!Área_de_impresión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Lopez</dc:creator>
  <cp:lastModifiedBy>Iparraguirre Jimenez, Ana</cp:lastModifiedBy>
  <cp:lastPrinted>2023-01-13T11:01:00Z</cp:lastPrinted>
  <dcterms:created xsi:type="dcterms:W3CDTF">2022-11-08T18:40:00Z</dcterms:created>
  <dcterms:modified xsi:type="dcterms:W3CDTF">2023-01-19T11:07:14Z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D77374C7FD584ED89B25C486F7E206D6</vt:lpwstr>
  </property>
  <property fmtid="{D5CDD505-2E9C-101B-9397-08002B2CF9AE}" pid="3" name="KSOProductBuildVer">
    <vt:lpwstr>3082-11.2.0.11440</vt:lpwstr>
  </property>
</Properties>
</file>