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mblazquez\Desktop\"/>
    </mc:Choice>
  </mc:AlternateContent>
  <xr:revisionPtr revIDLastSave="0" documentId="13_ncr:1_{73071EF2-57C6-4EA3-911B-695F04DBF69C}" xr6:coauthVersionLast="47" xr6:coauthVersionMax="47" xr10:uidLastSave="{00000000-0000-0000-0000-000000000000}"/>
  <bookViews>
    <workbookView xWindow="28680" yWindow="-120" windowWidth="29040" windowHeight="16440" tabRatio="763" activeTab="2" xr2:uid="{00000000-000D-0000-FFFF-FFFF00000000}"/>
  </bookViews>
  <sheets>
    <sheet name="Presentación" sheetId="65" r:id="rId1"/>
    <sheet name="PeriodoAmortizacion " sheetId="77" r:id="rId2"/>
    <sheet name="FlujoGastos" sheetId="76" r:id="rId3"/>
    <sheet name="EstructuraCostesAnualidad_1" sheetId="73" r:id="rId4"/>
    <sheet name="PresupuestoBaseLicitación" sheetId="52" r:id="rId5"/>
    <sheet name="CanonAnual" sheetId="53" r:id="rId6"/>
    <sheet name="Trabajos Medición-Suministro" sheetId="54" state="hidden" r:id="rId7"/>
    <sheet name="A. Resumen Costes Personal" sheetId="55" r:id="rId8"/>
    <sheet name="A.0_Tablas salariales SC" sheetId="14" state="hidden" r:id="rId9"/>
    <sheet name="A.1_Tabla Costes Subrogación" sheetId="43" r:id="rId10"/>
    <sheet name="A.1.0_TablaAntigüedad_Sub" sheetId="57" state="hidden" r:id="rId11"/>
    <sheet name="A.2_Tabla Costes Nueva Contr" sheetId="56" state="hidden" r:id="rId12"/>
    <sheet name="A.2.0_TablaAntigüedad_NuevContr" sheetId="58" state="hidden" r:id="rId13"/>
    <sheet name="B. Resumen Costes Veh_Maq" sheetId="59" r:id="rId14"/>
    <sheet name="B.0.ConsumiblesMaquinaria" sheetId="47" state="hidden" r:id="rId15"/>
    <sheet name="B.1.Vehículos" sheetId="45" r:id="rId16"/>
    <sheet name="DescripcionVehículos" sheetId="78" r:id="rId17"/>
    <sheet name="B.2.Maquinaria" sheetId="46" r:id="rId18"/>
    <sheet name="C. Resumen Costes Vest_Util_Her" sheetId="60" r:id="rId19"/>
    <sheet name="C.1.1.Vestuario_Equip" sheetId="35" r:id="rId20"/>
    <sheet name="C.1.2.PRL" sheetId="34" r:id="rId21"/>
    <sheet name="C.2. Herramientas" sheetId="49" r:id="rId22"/>
    <sheet name="D. Resumen Costes Locales e ins" sheetId="61" r:id="rId23"/>
    <sheet name="D.1_2_Locales_Inst" sheetId="62" r:id="rId24"/>
    <sheet name="E. Resumen Costes Materiales " sheetId="63" r:id="rId25"/>
    <sheet name="E.1. Mat_Primas" sheetId="48" r:id="rId26"/>
    <sheet name="E.2. Productos Fitosanitarios" sheetId="50" r:id="rId27"/>
    <sheet name="F. Resumen Otros Costes" sheetId="67" r:id="rId28"/>
    <sheet name="F.1. Eq_Tecno_Soft" sheetId="51" r:id="rId29"/>
    <sheet name="F.2 Inventario" sheetId="68" r:id="rId30"/>
    <sheet name="F.3 ServiciosProfesionales" sheetId="70" r:id="rId31"/>
    <sheet name="F.4 Otros Costes" sheetId="69" r:id="rId32"/>
  </sheets>
  <externalReferences>
    <externalReference r:id="rId33"/>
    <externalReference r:id="rId34"/>
  </externalReferences>
  <definedNames>
    <definedName name="aa" localSheetId="13">#REF!</definedName>
    <definedName name="aa" localSheetId="18">#REF!</definedName>
    <definedName name="aa" localSheetId="22">#REF!</definedName>
    <definedName name="aa" localSheetId="23">#REF!</definedName>
    <definedName name="aa" localSheetId="24">#REF!</definedName>
    <definedName name="aa" localSheetId="27">#REF!</definedName>
    <definedName name="aa" localSheetId="29">#REF!</definedName>
    <definedName name="aa" localSheetId="30">#REF!</definedName>
    <definedName name="aa" localSheetId="31">#REF!</definedName>
    <definedName name="aa">#REF!</definedName>
    <definedName name="aaa" localSheetId="23">#REF!</definedName>
    <definedName name="aaa" localSheetId="24">#REF!</definedName>
    <definedName name="aaa" localSheetId="27">#REF!</definedName>
    <definedName name="aaa" localSheetId="29">#REF!</definedName>
    <definedName name="aaa" localSheetId="30">#REF!</definedName>
    <definedName name="aaa" localSheetId="31">#REF!</definedName>
    <definedName name="aaa">#REF!</definedName>
    <definedName name="ADMINISTRATIVO" localSheetId="19">[1]TABLAS!$A$14:$A$19</definedName>
    <definedName name="ADMINISTRATIVO" localSheetId="20">[1]TABLAS!$A$14:$A$19</definedName>
    <definedName name="ADMINISTRATIVO">[2]TABLAS!$A$14:$A$19</definedName>
    <definedName name="_xlnm.Print_Area" localSheetId="7">'A. Resumen Costes Personal'!$B$1:$Q$24</definedName>
    <definedName name="_xlnm.Print_Area" localSheetId="8">'A.0_Tablas salariales SC'!$A$1:$AC$169</definedName>
    <definedName name="_xlnm.Print_Area" localSheetId="10">'A.1.0_TablaAntigüedad_Sub'!$B$1:$E$133</definedName>
    <definedName name="_xlnm.Print_Area" localSheetId="9">'A.1_Tabla Costes Subrogación'!$A$1:$AA$133</definedName>
    <definedName name="_xlnm.Print_Area" localSheetId="12">'A.2.0_TablaAntigüedad_NuevContr'!$B$1:$E$29</definedName>
    <definedName name="_xlnm.Print_Area" localSheetId="11">'A.2_Tabla Costes Nueva Contr'!$B$1:$Z$30</definedName>
    <definedName name="_xlnm.Print_Area" localSheetId="13">'B. Resumen Costes Veh_Maq'!$B$1:$O$7</definedName>
    <definedName name="_xlnm.Print_Area" localSheetId="14">'B.0.ConsumiblesMaquinaria'!$A$1:$F$56</definedName>
    <definedName name="_xlnm.Print_Area" localSheetId="15">'B.1.Vehículos'!$A$1:$AQ$64</definedName>
    <definedName name="_xlnm.Print_Area" localSheetId="17">'B.2.Maquinaria'!$A$1:$AQ$106</definedName>
    <definedName name="_xlnm.Print_Area" localSheetId="18">'C. Resumen Costes Vest_Util_Her'!$B$1:$Q$12</definedName>
    <definedName name="_xlnm.Print_Area" localSheetId="19">'C.1.1.Vestuario_Equip'!$A$1:$I$14</definedName>
    <definedName name="_xlnm.Print_Area" localSheetId="20">'C.1.2.PRL'!$C$1:$K$35</definedName>
    <definedName name="_xlnm.Print_Area" localSheetId="21">'C.2. Herramientas'!$C$1:$K$90</definedName>
    <definedName name="_xlnm.Print_Area" localSheetId="5">CanonAnual!$B$1:$V$28</definedName>
    <definedName name="_xlnm.Print_Area" localSheetId="22">'D. Resumen Costes Locales e ins'!$B$1:$Q$10</definedName>
    <definedName name="_xlnm.Print_Area" localSheetId="23">D.1_2_Locales_Inst!$A$1:$H$25</definedName>
    <definedName name="_xlnm.Print_Area" localSheetId="24">'E. Resumen Costes Materiales '!$B$1:$Q$7</definedName>
    <definedName name="_xlnm.Print_Area" localSheetId="25">'E.1. Mat_Primas'!$A$1:$K$21</definedName>
    <definedName name="_xlnm.Print_Area" localSheetId="26">'E.2. Productos Fitosanitarios'!$A$1:$E$17</definedName>
    <definedName name="_xlnm.Print_Area" localSheetId="3">EstructuraCostesAnualidad_1!$B$1:$AT$27</definedName>
    <definedName name="_xlnm.Print_Area" localSheetId="27">'F. Resumen Otros Costes'!$B$1:$O$11</definedName>
    <definedName name="_xlnm.Print_Area" localSheetId="28">'F.1. Eq_Tecno_Soft'!$C$1:$K$22</definedName>
    <definedName name="_xlnm.Print_Area" localSheetId="29">'F.2 Inventario'!$A$1:$F$21</definedName>
    <definedName name="_xlnm.Print_Area" localSheetId="30">'F.3 ServiciosProfesionales'!$A$1:$F$127</definedName>
    <definedName name="_xlnm.Print_Area" localSheetId="31">'F.4 Otros Costes'!$B$1:$H$16</definedName>
    <definedName name="_xlnm.Print_Area" localSheetId="2">FlujoGastos!$A$1:$BY$46</definedName>
    <definedName name="_xlnm.Print_Area" localSheetId="1">'PeriodoAmortizacion '!$A$1:$AF$81</definedName>
    <definedName name="_xlnm.Print_Area" localSheetId="4">PresupuestoBaseLicitación!$B$1:$AC$33</definedName>
    <definedName name="_xlnm.Print_Area" localSheetId="6">'Trabajos Medición-Suministro'!$B$1:$Z$50</definedName>
    <definedName name="Capítulos" localSheetId="10">#REF!</definedName>
    <definedName name="Capítulos" localSheetId="12">#REF!</definedName>
    <definedName name="Capítulos" localSheetId="13">#REF!</definedName>
    <definedName name="Capítulos" localSheetId="18">#REF!</definedName>
    <definedName name="Capítulos" localSheetId="22">#REF!</definedName>
    <definedName name="Capítulos" localSheetId="23">#REF!</definedName>
    <definedName name="Capítulos" localSheetId="24">#REF!</definedName>
    <definedName name="Capítulos" localSheetId="27">#REF!</definedName>
    <definedName name="Capítulos" localSheetId="29">#REF!</definedName>
    <definedName name="Capítulos" localSheetId="30">#REF!</definedName>
    <definedName name="Capítulos" localSheetId="31">#REF!</definedName>
    <definedName name="Capítulos">#REF!</definedName>
    <definedName name="cc">#REF!</definedName>
    <definedName name="MAQID" localSheetId="10">#REF!</definedName>
    <definedName name="MAQID" localSheetId="12">#REF!</definedName>
    <definedName name="MAQID" localSheetId="13">#REF!</definedName>
    <definedName name="MAQID" localSheetId="18">#REF!</definedName>
    <definedName name="MAQID" localSheetId="22">#REF!</definedName>
    <definedName name="MAQID" localSheetId="23">#REF!</definedName>
    <definedName name="MAQID" localSheetId="24">#REF!</definedName>
    <definedName name="MAQID" localSheetId="27">#REF!</definedName>
    <definedName name="MAQID" localSheetId="29">#REF!</definedName>
    <definedName name="MAQID" localSheetId="30">#REF!</definedName>
    <definedName name="MAQID" localSheetId="31">#REF!</definedName>
    <definedName name="MAQID">#REF!</definedName>
    <definedName name="Med_armaduras" localSheetId="10">#REF!</definedName>
    <definedName name="Med_armaduras" localSheetId="12">#REF!</definedName>
    <definedName name="Med_armaduras" localSheetId="13">#REF!</definedName>
    <definedName name="Med_armaduras" localSheetId="18">#REF!</definedName>
    <definedName name="Med_armaduras" localSheetId="22">#REF!</definedName>
    <definedName name="Med_armaduras" localSheetId="23">#REF!</definedName>
    <definedName name="Med_armaduras" localSheetId="24">#REF!</definedName>
    <definedName name="Med_armaduras" localSheetId="27">#REF!</definedName>
    <definedName name="Med_armaduras" localSheetId="29">#REF!</definedName>
    <definedName name="Med_armaduras" localSheetId="30">#REF!</definedName>
    <definedName name="Med_armaduras" localSheetId="31">#REF!</definedName>
    <definedName name="Med_armaduras">#REF!</definedName>
    <definedName name="Med_tierras" localSheetId="10">#REF!</definedName>
    <definedName name="Med_tierras" localSheetId="12">#REF!</definedName>
    <definedName name="Med_tierras" localSheetId="13">#REF!</definedName>
    <definedName name="Med_tierras" localSheetId="18">#REF!</definedName>
    <definedName name="Med_tierras" localSheetId="22">#REF!</definedName>
    <definedName name="Med_tierras" localSheetId="23">#REF!</definedName>
    <definedName name="Med_tierras" localSheetId="24">#REF!</definedName>
    <definedName name="Med_tierras" localSheetId="27">#REF!</definedName>
    <definedName name="Med_tierras" localSheetId="29">#REF!</definedName>
    <definedName name="Med_tierras" localSheetId="30">#REF!</definedName>
    <definedName name="Med_tierras" localSheetId="31">#REF!</definedName>
    <definedName name="Med_tierras">#REF!</definedName>
    <definedName name="Presupuesto" localSheetId="10">#REF!</definedName>
    <definedName name="Presupuesto" localSheetId="12">#REF!</definedName>
    <definedName name="Presupuesto" localSheetId="13">#REF!</definedName>
    <definedName name="Presupuesto" localSheetId="18">#REF!</definedName>
    <definedName name="Presupuesto" localSheetId="22">#REF!</definedName>
    <definedName name="Presupuesto" localSheetId="23">#REF!</definedName>
    <definedName name="Presupuesto" localSheetId="24">#REF!</definedName>
    <definedName name="Presupuesto" localSheetId="27">#REF!</definedName>
    <definedName name="Presupuesto" localSheetId="29">#REF!</definedName>
    <definedName name="Presupuesto" localSheetId="30">#REF!</definedName>
    <definedName name="Presupuesto" localSheetId="31">#REF!</definedName>
    <definedName name="Presupuesto">#REF!</definedName>
    <definedName name="TECNICO" localSheetId="19">[1]TABLAS!$A$7:$A$11</definedName>
    <definedName name="TECNICO" localSheetId="20">[1]TABLAS!$A$7:$A$11</definedName>
    <definedName name="TECNICO">[2]TABLAS!$A$7:$A$11</definedName>
    <definedName name="_xlnm.Print_Titles" localSheetId="9">'A.1_Tabla Costes Subrogación'!$3:$4</definedName>
    <definedName name="_xlnm.Print_Titles" localSheetId="11">'A.2_Tabla Costes Nueva Contr'!$3:$4</definedName>
    <definedName name="_xlnm.Print_Titles" localSheetId="15">'B.1.Vehículos'!$A:$D,'B.1.Vehículos'!$2:$5</definedName>
    <definedName name="_xlnm.Print_Titles" localSheetId="17">'B.2.Maquinaria'!$A:$AN,'B.2.Maquinaria'!$2:$5</definedName>
    <definedName name="_xlnm.Print_Titles" localSheetId="21">'C.2. Herramientas'!$2:$2</definedName>
    <definedName name="_xlnm.Print_Titles" localSheetId="30">'F.3 ServiciosProfesionales'!$2:$2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35" i="46" l="1"/>
  <c r="AL35" i="46" s="1"/>
  <c r="AG35" i="46"/>
  <c r="AE35" i="46"/>
  <c r="AH35" i="46" s="1"/>
  <c r="AC35" i="46"/>
  <c r="AA35" i="46"/>
  <c r="AB35" i="46" s="1"/>
  <c r="Q35" i="46"/>
  <c r="V35" i="46" s="1"/>
  <c r="W35" i="46" s="1"/>
  <c r="P35" i="46"/>
  <c r="I35" i="46"/>
  <c r="F35" i="46"/>
  <c r="G35" i="46" s="1"/>
  <c r="AK34" i="46"/>
  <c r="AL34" i="46" s="1"/>
  <c r="AG34" i="46"/>
  <c r="AH34" i="46" s="1"/>
  <c r="AM34" i="46" s="1"/>
  <c r="AO34" i="46" s="1"/>
  <c r="AP34" i="46" s="1"/>
  <c r="AE34" i="46"/>
  <c r="AC34" i="46"/>
  <c r="AA34" i="46"/>
  <c r="AD34" i="46" s="1"/>
  <c r="Q34" i="46"/>
  <c r="P34" i="46"/>
  <c r="I34" i="46"/>
  <c r="AB34" i="46" s="1"/>
  <c r="F34" i="46"/>
  <c r="G34" i="46" s="1"/>
  <c r="AK33" i="46"/>
  <c r="AL33" i="46" s="1"/>
  <c r="AG33" i="46"/>
  <c r="AE33" i="46"/>
  <c r="AH33" i="46" s="1"/>
  <c r="AC33" i="46"/>
  <c r="AA33" i="46"/>
  <c r="AB33" i="46" s="1"/>
  <c r="Q33" i="46"/>
  <c r="V33" i="46" s="1"/>
  <c r="W33" i="46" s="1"/>
  <c r="P33" i="46"/>
  <c r="I33" i="46"/>
  <c r="F33" i="46"/>
  <c r="G33" i="46" s="1"/>
  <c r="AO55" i="45"/>
  <c r="AP55" i="45" s="1"/>
  <c r="AO54" i="45"/>
  <c r="AP54" i="45" s="1"/>
  <c r="AQ54" i="45" s="1"/>
  <c r="AO53" i="45"/>
  <c r="AP53" i="45" s="1"/>
  <c r="AO52" i="45"/>
  <c r="AP52" i="45" s="1"/>
  <c r="AQ52" i="45" s="1"/>
  <c r="AO51" i="45"/>
  <c r="AP51" i="45" s="1"/>
  <c r="AQ51" i="45" s="1"/>
  <c r="AO49" i="45"/>
  <c r="AP49" i="45" s="1"/>
  <c r="AQ49" i="45" s="1"/>
  <c r="AO47" i="45"/>
  <c r="AP47" i="45" s="1"/>
  <c r="AQ47" i="45" s="1"/>
  <c r="AO46" i="45"/>
  <c r="AP46" i="45" s="1"/>
  <c r="AQ46" i="45" s="1"/>
  <c r="AO45" i="45"/>
  <c r="AP45" i="45" s="1"/>
  <c r="AO30" i="45"/>
  <c r="AP30" i="45" s="1"/>
  <c r="AQ30" i="45" s="1"/>
  <c r="AO29" i="45"/>
  <c r="AP29" i="45" s="1"/>
  <c r="AQ29" i="45" s="1"/>
  <c r="AO28" i="45"/>
  <c r="AP28" i="45" s="1"/>
  <c r="AO27" i="45"/>
  <c r="AP27" i="45" s="1"/>
  <c r="AO22" i="45"/>
  <c r="AP22" i="45" s="1"/>
  <c r="AQ22" i="45" s="1"/>
  <c r="AO21" i="45"/>
  <c r="AP21" i="45" s="1"/>
  <c r="AO20" i="45"/>
  <c r="AP20" i="45" s="1"/>
  <c r="AO19" i="45"/>
  <c r="AP19" i="45" s="1"/>
  <c r="AL8" i="45"/>
  <c r="AM62" i="45"/>
  <c r="AO62" i="45" s="1"/>
  <c r="AP62" i="45" s="1"/>
  <c r="AQ62" i="45" s="1"/>
  <c r="AM61" i="45"/>
  <c r="AO61" i="45" s="1"/>
  <c r="AP61" i="45" s="1"/>
  <c r="AM60" i="45"/>
  <c r="AO60" i="45" s="1"/>
  <c r="AP60" i="45" s="1"/>
  <c r="AQ60" i="45" s="1"/>
  <c r="AM59" i="45"/>
  <c r="AO59" i="45" s="1"/>
  <c r="AP59" i="45" s="1"/>
  <c r="AM58" i="45"/>
  <c r="AO58" i="45" s="1"/>
  <c r="AP58" i="45" s="1"/>
  <c r="AQ58" i="45" s="1"/>
  <c r="AM57" i="45"/>
  <c r="AO57" i="45" s="1"/>
  <c r="AP57" i="45" s="1"/>
  <c r="AQ57" i="45" s="1"/>
  <c r="AM56" i="45"/>
  <c r="AO56" i="45" s="1"/>
  <c r="AP56" i="45" s="1"/>
  <c r="AQ56" i="45" s="1"/>
  <c r="AM55" i="45"/>
  <c r="AM54" i="45"/>
  <c r="AM53" i="45"/>
  <c r="AM52" i="45"/>
  <c r="AM51" i="45"/>
  <c r="AM49" i="45"/>
  <c r="AM47" i="45"/>
  <c r="AM46" i="45"/>
  <c r="AM45" i="45"/>
  <c r="AM42" i="45"/>
  <c r="AO42" i="45" s="1"/>
  <c r="AP42" i="45" s="1"/>
  <c r="AQ42" i="45" s="1"/>
  <c r="AM40" i="45"/>
  <c r="AO40" i="45" s="1"/>
  <c r="AP40" i="45" s="1"/>
  <c r="AQ40" i="45" s="1"/>
  <c r="AM38" i="45"/>
  <c r="AO38" i="45" s="1"/>
  <c r="AP38" i="45" s="1"/>
  <c r="AQ38" i="45" s="1"/>
  <c r="AM36" i="45"/>
  <c r="AO36" i="45" s="1"/>
  <c r="AP36" i="45" s="1"/>
  <c r="AQ36" i="45" s="1"/>
  <c r="AM32" i="45"/>
  <c r="AO32" i="45" s="1"/>
  <c r="AP32" i="45" s="1"/>
  <c r="AM31" i="45"/>
  <c r="AO31" i="45" s="1"/>
  <c r="AP31" i="45" s="1"/>
  <c r="AQ31" i="45" s="1"/>
  <c r="AM30" i="45"/>
  <c r="AM29" i="45"/>
  <c r="AM28" i="45"/>
  <c r="AM27" i="45"/>
  <c r="AM22" i="45"/>
  <c r="AM21" i="45"/>
  <c r="AM20" i="45"/>
  <c r="AM19" i="45"/>
  <c r="AM18" i="45"/>
  <c r="AO18" i="45" s="1"/>
  <c r="AP18" i="45" s="1"/>
  <c r="AM16" i="45"/>
  <c r="AO16" i="45" s="1"/>
  <c r="AP16" i="45" s="1"/>
  <c r="AQ16" i="45" s="1"/>
  <c r="AM14" i="45"/>
  <c r="AO14" i="45" s="1"/>
  <c r="AP14" i="45" s="1"/>
  <c r="AQ14" i="45" s="1"/>
  <c r="AM13" i="45"/>
  <c r="AO13" i="45" s="1"/>
  <c r="AP13" i="45" s="1"/>
  <c r="AM12" i="45"/>
  <c r="AO12" i="45" s="1"/>
  <c r="AP12" i="45" s="1"/>
  <c r="AM11" i="45"/>
  <c r="AO11" i="45" s="1"/>
  <c r="AP11" i="45" s="1"/>
  <c r="AM10" i="45"/>
  <c r="AO10" i="45" s="1"/>
  <c r="AP10" i="45" s="1"/>
  <c r="AQ10" i="45" s="1"/>
  <c r="AM9" i="45"/>
  <c r="AO9" i="45" s="1"/>
  <c r="AP9" i="45" s="1"/>
  <c r="AQ9" i="45" s="1"/>
  <c r="AL23" i="45"/>
  <c r="AL9" i="45"/>
  <c r="AL10" i="45"/>
  <c r="AL11" i="45"/>
  <c r="AL12" i="45"/>
  <c r="AL13" i="45"/>
  <c r="AL14" i="45"/>
  <c r="AL15" i="45"/>
  <c r="AL16" i="45"/>
  <c r="AL17" i="45"/>
  <c r="AL18" i="45"/>
  <c r="AL19" i="45"/>
  <c r="AL20" i="45"/>
  <c r="AL21" i="45"/>
  <c r="AL22" i="45"/>
  <c r="AL62" i="45"/>
  <c r="AL61" i="45"/>
  <c r="AL60" i="45"/>
  <c r="AL59" i="45"/>
  <c r="AL58" i="45"/>
  <c r="AL57" i="45"/>
  <c r="AL56" i="45"/>
  <c r="AL55" i="45"/>
  <c r="AL54" i="45"/>
  <c r="AL53" i="45"/>
  <c r="AL52" i="45"/>
  <c r="AL51" i="45"/>
  <c r="AL50" i="45"/>
  <c r="AL49" i="45"/>
  <c r="AL47" i="45"/>
  <c r="AL46" i="45"/>
  <c r="AL45" i="45"/>
  <c r="AL44" i="45"/>
  <c r="AL43" i="45"/>
  <c r="AL42" i="45"/>
  <c r="AL41" i="45"/>
  <c r="AL40" i="45"/>
  <c r="AL38" i="45"/>
  <c r="AL37" i="45"/>
  <c r="AL36" i="45"/>
  <c r="AL34" i="45"/>
  <c r="AL33" i="45"/>
  <c r="AL32" i="45"/>
  <c r="AL31" i="45"/>
  <c r="AL30" i="45"/>
  <c r="AL29" i="45"/>
  <c r="AL28" i="45"/>
  <c r="AL27" i="45"/>
  <c r="AL26" i="45"/>
  <c r="AL24" i="45"/>
  <c r="AL7" i="45"/>
  <c r="Q7" i="46"/>
  <c r="P100" i="46"/>
  <c r="P99" i="46"/>
  <c r="P98" i="46"/>
  <c r="P97" i="46"/>
  <c r="P96" i="46"/>
  <c r="P95" i="46"/>
  <c r="P94" i="46"/>
  <c r="P93" i="46"/>
  <c r="P92" i="46"/>
  <c r="P91" i="46"/>
  <c r="P90" i="46"/>
  <c r="P89" i="46"/>
  <c r="P88" i="46"/>
  <c r="P87" i="46"/>
  <c r="P86" i="46"/>
  <c r="P85" i="46"/>
  <c r="P84" i="46"/>
  <c r="P83" i="46"/>
  <c r="P82" i="46"/>
  <c r="P80" i="46"/>
  <c r="P79" i="46"/>
  <c r="P78" i="46"/>
  <c r="P77" i="46"/>
  <c r="P76" i="46"/>
  <c r="P75" i="46"/>
  <c r="P74" i="46"/>
  <c r="P73" i="46"/>
  <c r="P72" i="46"/>
  <c r="P71" i="46"/>
  <c r="P70" i="46"/>
  <c r="P69" i="46"/>
  <c r="P68" i="46"/>
  <c r="P66" i="46"/>
  <c r="P65" i="46"/>
  <c r="P64" i="46"/>
  <c r="P62" i="46"/>
  <c r="P61" i="46"/>
  <c r="P60" i="46"/>
  <c r="P59" i="46"/>
  <c r="P58" i="46"/>
  <c r="P56" i="46"/>
  <c r="P55" i="46"/>
  <c r="P54" i="46"/>
  <c r="P53" i="46"/>
  <c r="P52" i="46"/>
  <c r="P51" i="46"/>
  <c r="P49" i="46"/>
  <c r="P48" i="46"/>
  <c r="P47" i="46"/>
  <c r="P46" i="46"/>
  <c r="P45" i="46"/>
  <c r="P44" i="46"/>
  <c r="P43" i="46"/>
  <c r="P42" i="46"/>
  <c r="P41" i="46"/>
  <c r="P40" i="46"/>
  <c r="P39" i="46"/>
  <c r="P38" i="46"/>
  <c r="P37" i="46"/>
  <c r="P36" i="46"/>
  <c r="P32" i="46"/>
  <c r="P30" i="46"/>
  <c r="P29" i="46"/>
  <c r="P28" i="46"/>
  <c r="P27" i="46"/>
  <c r="P25" i="46"/>
  <c r="P24" i="46"/>
  <c r="P23" i="46"/>
  <c r="P22" i="46"/>
  <c r="P21" i="46"/>
  <c r="P20" i="46"/>
  <c r="P19" i="46"/>
  <c r="P18" i="46"/>
  <c r="P17" i="46"/>
  <c r="P16" i="46"/>
  <c r="P15" i="46"/>
  <c r="P14" i="46"/>
  <c r="P13" i="46"/>
  <c r="P12" i="46"/>
  <c r="P11" i="46"/>
  <c r="P10" i="46"/>
  <c r="P9" i="46"/>
  <c r="P8" i="46"/>
  <c r="P7" i="46"/>
  <c r="G99" i="46"/>
  <c r="G70" i="46"/>
  <c r="G19" i="46"/>
  <c r="G18" i="46"/>
  <c r="G17" i="46"/>
  <c r="G16" i="46"/>
  <c r="G12" i="46"/>
  <c r="G11" i="46"/>
  <c r="G10" i="46"/>
  <c r="F100" i="46"/>
  <c r="G100" i="46" s="1"/>
  <c r="F99" i="46"/>
  <c r="F98" i="46"/>
  <c r="G98" i="46" s="1"/>
  <c r="F97" i="46"/>
  <c r="G97" i="46" s="1"/>
  <c r="F96" i="46"/>
  <c r="G96" i="46" s="1"/>
  <c r="F95" i="46"/>
  <c r="G95" i="46" s="1"/>
  <c r="F94" i="46"/>
  <c r="G94" i="46" s="1"/>
  <c r="F93" i="46"/>
  <c r="G93" i="46" s="1"/>
  <c r="F92" i="46"/>
  <c r="G92" i="46" s="1"/>
  <c r="F91" i="46"/>
  <c r="G91" i="46" s="1"/>
  <c r="F90" i="46"/>
  <c r="G90" i="46" s="1"/>
  <c r="F89" i="46"/>
  <c r="G89" i="46" s="1"/>
  <c r="F88" i="46"/>
  <c r="G88" i="46" s="1"/>
  <c r="F87" i="46"/>
  <c r="G87" i="46" s="1"/>
  <c r="F86" i="46"/>
  <c r="G86" i="46" s="1"/>
  <c r="F85" i="46"/>
  <c r="G85" i="46" s="1"/>
  <c r="F84" i="46"/>
  <c r="G84" i="46" s="1"/>
  <c r="F83" i="46"/>
  <c r="G83" i="46" s="1"/>
  <c r="F82" i="46"/>
  <c r="G82" i="46" s="1"/>
  <c r="F80" i="46"/>
  <c r="G80" i="46" s="1"/>
  <c r="F79" i="46"/>
  <c r="G79" i="46" s="1"/>
  <c r="F78" i="46"/>
  <c r="G78" i="46" s="1"/>
  <c r="F77" i="46"/>
  <c r="G77" i="46" s="1"/>
  <c r="F76" i="46"/>
  <c r="G76" i="46" s="1"/>
  <c r="F75" i="46"/>
  <c r="G75" i="46" s="1"/>
  <c r="F74" i="46"/>
  <c r="G74" i="46" s="1"/>
  <c r="F73" i="46"/>
  <c r="G73" i="46" s="1"/>
  <c r="F72" i="46"/>
  <c r="G72" i="46" s="1"/>
  <c r="F71" i="46"/>
  <c r="G71" i="46" s="1"/>
  <c r="F70" i="46"/>
  <c r="F69" i="46"/>
  <c r="G69" i="46" s="1"/>
  <c r="F68" i="46"/>
  <c r="G68" i="46" s="1"/>
  <c r="F66" i="46"/>
  <c r="G66" i="46" s="1"/>
  <c r="F65" i="46"/>
  <c r="G65" i="46" s="1"/>
  <c r="F64" i="46"/>
  <c r="G64" i="46" s="1"/>
  <c r="F63" i="46"/>
  <c r="F62" i="46"/>
  <c r="G62" i="46" s="1"/>
  <c r="F61" i="46"/>
  <c r="G61" i="46" s="1"/>
  <c r="F60" i="46"/>
  <c r="G60" i="46" s="1"/>
  <c r="F59" i="46"/>
  <c r="G59" i="46" s="1"/>
  <c r="F58" i="46"/>
  <c r="G58" i="46" s="1"/>
  <c r="F56" i="46"/>
  <c r="G56" i="46" s="1"/>
  <c r="F55" i="46"/>
  <c r="G55" i="46" s="1"/>
  <c r="F54" i="46"/>
  <c r="G54" i="46" s="1"/>
  <c r="F53" i="46"/>
  <c r="G53" i="46" s="1"/>
  <c r="F52" i="46"/>
  <c r="G52" i="46" s="1"/>
  <c r="F51" i="46"/>
  <c r="G51" i="46" s="1"/>
  <c r="F49" i="46"/>
  <c r="G49" i="46" s="1"/>
  <c r="F48" i="46"/>
  <c r="G48" i="46" s="1"/>
  <c r="F47" i="46"/>
  <c r="G47" i="46" s="1"/>
  <c r="F46" i="46"/>
  <c r="G46" i="46" s="1"/>
  <c r="F45" i="46"/>
  <c r="G45" i="46" s="1"/>
  <c r="F44" i="46"/>
  <c r="G44" i="46" s="1"/>
  <c r="F43" i="46"/>
  <c r="G43" i="46" s="1"/>
  <c r="F42" i="46"/>
  <c r="G42" i="46" s="1"/>
  <c r="F41" i="46"/>
  <c r="G41" i="46" s="1"/>
  <c r="F40" i="46"/>
  <c r="G40" i="46" s="1"/>
  <c r="F39" i="46"/>
  <c r="G39" i="46" s="1"/>
  <c r="F38" i="46"/>
  <c r="G38" i="46" s="1"/>
  <c r="F37" i="46"/>
  <c r="G37" i="46" s="1"/>
  <c r="F36" i="46"/>
  <c r="G36" i="46" s="1"/>
  <c r="F32" i="46"/>
  <c r="G32" i="46" s="1"/>
  <c r="F30" i="46"/>
  <c r="G30" i="46" s="1"/>
  <c r="F29" i="46"/>
  <c r="G29" i="46" s="1"/>
  <c r="F28" i="46"/>
  <c r="G28" i="46" s="1"/>
  <c r="F27" i="46"/>
  <c r="G27" i="46" s="1"/>
  <c r="F25" i="46"/>
  <c r="G25" i="46" s="1"/>
  <c r="F24" i="46"/>
  <c r="G24" i="46" s="1"/>
  <c r="F23" i="46"/>
  <c r="G23" i="46" s="1"/>
  <c r="F22" i="46"/>
  <c r="G22" i="46" s="1"/>
  <c r="F21" i="46"/>
  <c r="G21" i="46" s="1"/>
  <c r="F20" i="46"/>
  <c r="G20" i="46" s="1"/>
  <c r="F19" i="46"/>
  <c r="F18" i="46"/>
  <c r="F17" i="46"/>
  <c r="F16" i="46"/>
  <c r="F15" i="46"/>
  <c r="G15" i="46" s="1"/>
  <c r="F14" i="46"/>
  <c r="G14" i="46" s="1"/>
  <c r="F13" i="46"/>
  <c r="G13" i="46" s="1"/>
  <c r="F12" i="46"/>
  <c r="F11" i="46"/>
  <c r="F10" i="46"/>
  <c r="F9" i="46"/>
  <c r="G9" i="46" s="1"/>
  <c r="F8" i="46"/>
  <c r="G8" i="46" s="1"/>
  <c r="F7" i="46"/>
  <c r="G7" i="46" s="1"/>
  <c r="AI36" i="45"/>
  <c r="AJ36" i="45" s="1"/>
  <c r="AI32" i="45"/>
  <c r="AJ32" i="45" s="1"/>
  <c r="AI31" i="45"/>
  <c r="AJ31" i="45" s="1"/>
  <c r="AI28" i="45"/>
  <c r="AJ28" i="45" s="1"/>
  <c r="AI27" i="45"/>
  <c r="AJ27" i="45" s="1"/>
  <c r="AM7" i="45"/>
  <c r="AO7" i="45" s="1"/>
  <c r="AP7" i="45" s="1"/>
  <c r="AE62" i="45"/>
  <c r="AE61" i="45"/>
  <c r="AE60" i="45"/>
  <c r="AE58" i="45"/>
  <c r="AE57" i="45"/>
  <c r="AE56" i="45"/>
  <c r="AE55" i="45"/>
  <c r="AE54" i="45"/>
  <c r="AE53" i="45"/>
  <c r="AE52" i="45"/>
  <c r="AE51" i="45"/>
  <c r="AE49" i="45"/>
  <c r="AE47" i="45"/>
  <c r="AI47" i="45" s="1"/>
  <c r="AJ47" i="45" s="1"/>
  <c r="AE46" i="45"/>
  <c r="AI46" i="45" s="1"/>
  <c r="AJ46" i="45" s="1"/>
  <c r="AE45" i="45"/>
  <c r="AI45" i="45" s="1"/>
  <c r="AJ45" i="45" s="1"/>
  <c r="AE42" i="45"/>
  <c r="AE40" i="45"/>
  <c r="AE38" i="45"/>
  <c r="AE36" i="45"/>
  <c r="AE32" i="45"/>
  <c r="AE31" i="45"/>
  <c r="AE30" i="45"/>
  <c r="AE29" i="45"/>
  <c r="AE28" i="45"/>
  <c r="AE27" i="45"/>
  <c r="AE22" i="45"/>
  <c r="AI22" i="45" s="1"/>
  <c r="AJ22" i="45" s="1"/>
  <c r="AE21" i="45"/>
  <c r="AI21" i="45" s="1"/>
  <c r="AJ21" i="45" s="1"/>
  <c r="AE20" i="45"/>
  <c r="AI20" i="45" s="1"/>
  <c r="AJ20" i="45" s="1"/>
  <c r="AE19" i="45"/>
  <c r="AE18" i="45"/>
  <c r="AI18" i="45" s="1"/>
  <c r="AJ18" i="45" s="1"/>
  <c r="AE16" i="45"/>
  <c r="AI16" i="45" s="1"/>
  <c r="AJ16" i="45" s="1"/>
  <c r="AE14" i="45"/>
  <c r="AE13" i="45"/>
  <c r="AE12" i="45"/>
  <c r="AE11" i="45"/>
  <c r="AE10" i="45"/>
  <c r="AE9" i="45"/>
  <c r="AE7" i="45"/>
  <c r="AH62" i="45"/>
  <c r="AH61" i="45"/>
  <c r="AH60" i="45"/>
  <c r="AH59" i="45"/>
  <c r="AH58" i="45"/>
  <c r="AH57" i="45"/>
  <c r="AH56" i="45"/>
  <c r="AH55" i="45"/>
  <c r="AH54" i="45"/>
  <c r="AH53" i="45"/>
  <c r="AI53" i="45" s="1"/>
  <c r="AJ53" i="45" s="1"/>
  <c r="AH52" i="45"/>
  <c r="AI52" i="45" s="1"/>
  <c r="AJ52" i="45" s="1"/>
  <c r="AH51" i="45"/>
  <c r="AI51" i="45" s="1"/>
  <c r="AJ51" i="45" s="1"/>
  <c r="AH50" i="45"/>
  <c r="AH49" i="45"/>
  <c r="AH47" i="45"/>
  <c r="AH46" i="45"/>
  <c r="AH45" i="45"/>
  <c r="AH42" i="45"/>
  <c r="AH41" i="45"/>
  <c r="AH40" i="45"/>
  <c r="AH38" i="45"/>
  <c r="AH37" i="45"/>
  <c r="AH36" i="45"/>
  <c r="AH32" i="45"/>
  <c r="AH31" i="45"/>
  <c r="AH30" i="45"/>
  <c r="AH29" i="45"/>
  <c r="AH28" i="45"/>
  <c r="AH27" i="45"/>
  <c r="AH23" i="45"/>
  <c r="AM23" i="45" s="1"/>
  <c r="AO23" i="45" s="1"/>
  <c r="AH22" i="45"/>
  <c r="AH21" i="45"/>
  <c r="AH20" i="45"/>
  <c r="AH19" i="45"/>
  <c r="AH18" i="45"/>
  <c r="AH16" i="45"/>
  <c r="AH14" i="45"/>
  <c r="AI14" i="45" s="1"/>
  <c r="AJ14" i="45" s="1"/>
  <c r="AH13" i="45"/>
  <c r="AI13" i="45" s="1"/>
  <c r="AJ13" i="45" s="1"/>
  <c r="AH12" i="45"/>
  <c r="AI12" i="45" s="1"/>
  <c r="AJ12" i="45" s="1"/>
  <c r="AH11" i="45"/>
  <c r="AI11" i="45" s="1"/>
  <c r="AJ11" i="45" s="1"/>
  <c r="AH10" i="45"/>
  <c r="AI10" i="45" s="1"/>
  <c r="AJ10" i="45" s="1"/>
  <c r="AH9" i="45"/>
  <c r="AI9" i="45" s="1"/>
  <c r="AJ9" i="45" s="1"/>
  <c r="AH7" i="45"/>
  <c r="AI7" i="45" s="1"/>
  <c r="AJ7" i="45" s="1"/>
  <c r="AF7" i="45"/>
  <c r="AF23" i="45"/>
  <c r="AF15" i="45"/>
  <c r="AH15" i="45" s="1"/>
  <c r="AF12" i="45"/>
  <c r="AF11" i="45"/>
  <c r="AD38" i="45"/>
  <c r="AD62" i="45"/>
  <c r="AD61" i="45"/>
  <c r="AD60" i="45"/>
  <c r="AD44" i="45"/>
  <c r="AE44" i="45" s="1"/>
  <c r="AD43" i="45"/>
  <c r="AD26" i="45"/>
  <c r="AE26" i="45" s="1"/>
  <c r="AD57" i="45"/>
  <c r="AD54" i="45"/>
  <c r="AD53" i="45"/>
  <c r="AD52" i="45"/>
  <c r="AD51" i="45"/>
  <c r="AD50" i="45"/>
  <c r="AE50" i="45" s="1"/>
  <c r="AM50" i="45" s="1"/>
  <c r="AO50" i="45" s="1"/>
  <c r="AP50" i="45" s="1"/>
  <c r="AD49" i="45"/>
  <c r="AD42" i="45"/>
  <c r="AD41" i="45"/>
  <c r="AD40" i="45"/>
  <c r="AD37" i="45"/>
  <c r="AD36" i="45"/>
  <c r="AD29" i="45"/>
  <c r="AD28" i="45"/>
  <c r="AD27" i="45"/>
  <c r="AD9" i="45"/>
  <c r="AD58" i="45"/>
  <c r="AD47" i="45"/>
  <c r="AD46" i="45"/>
  <c r="AD45" i="45"/>
  <c r="AD34" i="45"/>
  <c r="AD33" i="45"/>
  <c r="AD32" i="45"/>
  <c r="AD31" i="45"/>
  <c r="AD30" i="45"/>
  <c r="AD24" i="45"/>
  <c r="AD22" i="45"/>
  <c r="AD21" i="45"/>
  <c r="AD20" i="45"/>
  <c r="AD19" i="45"/>
  <c r="AD18" i="45"/>
  <c r="AD17" i="45"/>
  <c r="AD16" i="45"/>
  <c r="AD14" i="45"/>
  <c r="AD13" i="45"/>
  <c r="AD10" i="45"/>
  <c r="AD8" i="45"/>
  <c r="AD59" i="45"/>
  <c r="AE59" i="45" s="1"/>
  <c r="AD56" i="45"/>
  <c r="AD55" i="45"/>
  <c r="AD23" i="45"/>
  <c r="AE23" i="45" s="1"/>
  <c r="AD15" i="45"/>
  <c r="AD12" i="45"/>
  <c r="AD11" i="45"/>
  <c r="AD7" i="45"/>
  <c r="AC59" i="45"/>
  <c r="AC57" i="45"/>
  <c r="AC54" i="45"/>
  <c r="AC53" i="45"/>
  <c r="AC52" i="45"/>
  <c r="AC51" i="45"/>
  <c r="AC50" i="45"/>
  <c r="AC49" i="45"/>
  <c r="AC44" i="45"/>
  <c r="AC40" i="45"/>
  <c r="AC37" i="45"/>
  <c r="AC36" i="45"/>
  <c r="AC29" i="45"/>
  <c r="AC28" i="45"/>
  <c r="AC27" i="45"/>
  <c r="AC26" i="45"/>
  <c r="AC23" i="45"/>
  <c r="AC15" i="45"/>
  <c r="AC12" i="45"/>
  <c r="AC11" i="45"/>
  <c r="AC9" i="45"/>
  <c r="AC7" i="45"/>
  <c r="J62" i="45"/>
  <c r="J61" i="45"/>
  <c r="J60" i="45"/>
  <c r="J59" i="45"/>
  <c r="K59" i="45" s="1"/>
  <c r="J58" i="45"/>
  <c r="K58" i="45" s="1"/>
  <c r="P58" i="45" s="1"/>
  <c r="J57" i="45"/>
  <c r="K57" i="45" s="1"/>
  <c r="P57" i="45" s="1"/>
  <c r="J56" i="45"/>
  <c r="K56" i="45" s="1"/>
  <c r="P56" i="45" s="1"/>
  <c r="J55" i="45"/>
  <c r="K55" i="45" s="1"/>
  <c r="P55" i="45" s="1"/>
  <c r="J54" i="45"/>
  <c r="K54" i="45" s="1"/>
  <c r="P54" i="45" s="1"/>
  <c r="J53" i="45"/>
  <c r="K53" i="45" s="1"/>
  <c r="P53" i="45" s="1"/>
  <c r="J52" i="45"/>
  <c r="K52" i="45" s="1"/>
  <c r="P52" i="45" s="1"/>
  <c r="J51" i="45"/>
  <c r="K51" i="45" s="1"/>
  <c r="P51" i="45" s="1"/>
  <c r="J50" i="45"/>
  <c r="K50" i="45" s="1"/>
  <c r="J49" i="45"/>
  <c r="K49" i="45" s="1"/>
  <c r="P49" i="45" s="1"/>
  <c r="J47" i="45"/>
  <c r="K47" i="45" s="1"/>
  <c r="P47" i="45" s="1"/>
  <c r="J46" i="45"/>
  <c r="K46" i="45" s="1"/>
  <c r="P46" i="45" s="1"/>
  <c r="J45" i="45"/>
  <c r="K45" i="45" s="1"/>
  <c r="P45" i="45" s="1"/>
  <c r="J44" i="45"/>
  <c r="K44" i="45" s="1"/>
  <c r="J43" i="45"/>
  <c r="K43" i="45" s="1"/>
  <c r="J42" i="45"/>
  <c r="K42" i="45" s="1"/>
  <c r="P42" i="45" s="1"/>
  <c r="J41" i="45"/>
  <c r="K41" i="45" s="1"/>
  <c r="J40" i="45"/>
  <c r="K40" i="45" s="1"/>
  <c r="P40" i="45" s="1"/>
  <c r="J38" i="45"/>
  <c r="J37" i="45"/>
  <c r="J36" i="45"/>
  <c r="J34" i="45"/>
  <c r="K34" i="45" s="1"/>
  <c r="J33" i="45"/>
  <c r="K33" i="45" s="1"/>
  <c r="J32" i="45"/>
  <c r="K32" i="45" s="1"/>
  <c r="P32" i="45" s="1"/>
  <c r="J31" i="45"/>
  <c r="K31" i="45" s="1"/>
  <c r="P31" i="45" s="1"/>
  <c r="J30" i="45"/>
  <c r="K30" i="45" s="1"/>
  <c r="P30" i="45" s="1"/>
  <c r="J29" i="45"/>
  <c r="K29" i="45" s="1"/>
  <c r="P29" i="45" s="1"/>
  <c r="J28" i="45"/>
  <c r="K28" i="45" s="1"/>
  <c r="P28" i="45" s="1"/>
  <c r="J27" i="45"/>
  <c r="K27" i="45" s="1"/>
  <c r="P27" i="45" s="1"/>
  <c r="J26" i="45"/>
  <c r="K26" i="45" s="1"/>
  <c r="J24" i="45"/>
  <c r="K24" i="45" s="1"/>
  <c r="J23" i="45"/>
  <c r="K23" i="45" s="1"/>
  <c r="J22" i="45"/>
  <c r="K22" i="45" s="1"/>
  <c r="P22" i="45" s="1"/>
  <c r="J21" i="45"/>
  <c r="K21" i="45" s="1"/>
  <c r="P21" i="45" s="1"/>
  <c r="J20" i="45"/>
  <c r="K20" i="45" s="1"/>
  <c r="P20" i="45" s="1"/>
  <c r="J19" i="45"/>
  <c r="J18" i="45"/>
  <c r="K18" i="45" s="1"/>
  <c r="P18" i="45" s="1"/>
  <c r="J17" i="45"/>
  <c r="K17" i="45" s="1"/>
  <c r="J16" i="45"/>
  <c r="K16" i="45" s="1"/>
  <c r="P16" i="45" s="1"/>
  <c r="J15" i="45"/>
  <c r="K15" i="45" s="1"/>
  <c r="J14" i="45"/>
  <c r="J13" i="45"/>
  <c r="J12" i="45"/>
  <c r="J11" i="45"/>
  <c r="K11" i="45" s="1"/>
  <c r="P11" i="45" s="1"/>
  <c r="J10" i="45"/>
  <c r="K10" i="45" s="1"/>
  <c r="P10" i="45" s="1"/>
  <c r="J9" i="45"/>
  <c r="K9" i="45" s="1"/>
  <c r="P9" i="45" s="1"/>
  <c r="J8" i="45"/>
  <c r="K8" i="45" s="1"/>
  <c r="J7" i="45"/>
  <c r="Z62" i="45"/>
  <c r="Y62" i="45"/>
  <c r="S62" i="45"/>
  <c r="Q62" i="45"/>
  <c r="V62" i="45" s="1"/>
  <c r="W62" i="45" s="1"/>
  <c r="Z61" i="45"/>
  <c r="Y61" i="45"/>
  <c r="S61" i="45"/>
  <c r="Q61" i="45"/>
  <c r="Z60" i="45"/>
  <c r="Y60" i="45"/>
  <c r="S60" i="45"/>
  <c r="Q60" i="45"/>
  <c r="Z58" i="45"/>
  <c r="Y58" i="45"/>
  <c r="S58" i="45"/>
  <c r="Q58" i="45"/>
  <c r="V58" i="45" s="1"/>
  <c r="W58" i="45" s="1"/>
  <c r="Z57" i="45"/>
  <c r="Y57" i="45"/>
  <c r="S57" i="45"/>
  <c r="Q57" i="45"/>
  <c r="X57" i="45" s="1"/>
  <c r="Z56" i="45"/>
  <c r="Y56" i="45"/>
  <c r="S56" i="45"/>
  <c r="Q56" i="45"/>
  <c r="V56" i="45" s="1"/>
  <c r="W56" i="45" s="1"/>
  <c r="Z55" i="45"/>
  <c r="Y55" i="45"/>
  <c r="S55" i="45"/>
  <c r="Q55" i="45"/>
  <c r="Z54" i="45"/>
  <c r="Y54" i="45"/>
  <c r="S54" i="45"/>
  <c r="Q54" i="45"/>
  <c r="V54" i="45" s="1"/>
  <c r="W54" i="45" s="1"/>
  <c r="Z53" i="45"/>
  <c r="Y53" i="45"/>
  <c r="S53" i="45"/>
  <c r="Q53" i="45"/>
  <c r="X53" i="45" s="1"/>
  <c r="Z52" i="45"/>
  <c r="Y52" i="45"/>
  <c r="S52" i="45"/>
  <c r="Q52" i="45"/>
  <c r="V52" i="45" s="1"/>
  <c r="W52" i="45" s="1"/>
  <c r="Z51" i="45"/>
  <c r="Y51" i="45"/>
  <c r="S51" i="45"/>
  <c r="Q51" i="45"/>
  <c r="X51" i="45" s="1"/>
  <c r="Z49" i="45"/>
  <c r="Y49" i="45"/>
  <c r="S49" i="45"/>
  <c r="Q49" i="45"/>
  <c r="X49" i="45" s="1"/>
  <c r="Z47" i="45"/>
  <c r="Y47" i="45"/>
  <c r="S47" i="45"/>
  <c r="Q47" i="45"/>
  <c r="Z46" i="45"/>
  <c r="Y46" i="45"/>
  <c r="S46" i="45"/>
  <c r="Q46" i="45"/>
  <c r="Z45" i="45"/>
  <c r="Y45" i="45"/>
  <c r="S45" i="45"/>
  <c r="Q45" i="45"/>
  <c r="Z42" i="45"/>
  <c r="Y42" i="45"/>
  <c r="S42" i="45"/>
  <c r="T42" i="45" s="1"/>
  <c r="Q42" i="45"/>
  <c r="Z40" i="45"/>
  <c r="Y40" i="45"/>
  <c r="S40" i="45"/>
  <c r="Q40" i="45"/>
  <c r="Z38" i="45"/>
  <c r="Y38" i="45"/>
  <c r="S38" i="45"/>
  <c r="Q38" i="45"/>
  <c r="P38" i="45"/>
  <c r="Z36" i="45"/>
  <c r="Y36" i="45"/>
  <c r="S36" i="45"/>
  <c r="Q36" i="45"/>
  <c r="Z32" i="45"/>
  <c r="Y32" i="45"/>
  <c r="S32" i="45"/>
  <c r="T32" i="45" s="1"/>
  <c r="Q32" i="45"/>
  <c r="Z31" i="45"/>
  <c r="Y31" i="45"/>
  <c r="S31" i="45"/>
  <c r="Q31" i="45"/>
  <c r="R31" i="45" s="1"/>
  <c r="Z30" i="45"/>
  <c r="Y30" i="45"/>
  <c r="S30" i="45"/>
  <c r="T30" i="45" s="1"/>
  <c r="Q30" i="45"/>
  <c r="Z29" i="45"/>
  <c r="Y29" i="45"/>
  <c r="S29" i="45"/>
  <c r="Q29" i="45"/>
  <c r="X29" i="45" s="1"/>
  <c r="Z28" i="45"/>
  <c r="Y28" i="45"/>
  <c r="S28" i="45"/>
  <c r="Q28" i="45"/>
  <c r="X28" i="45" s="1"/>
  <c r="Z27" i="45"/>
  <c r="Y27" i="45"/>
  <c r="S27" i="45"/>
  <c r="T27" i="45" s="1"/>
  <c r="Q27" i="45"/>
  <c r="R27" i="45" s="1"/>
  <c r="Z22" i="45"/>
  <c r="Y22" i="45"/>
  <c r="S22" i="45"/>
  <c r="Q22" i="45"/>
  <c r="Z21" i="45"/>
  <c r="Y21" i="45"/>
  <c r="S21" i="45"/>
  <c r="T21" i="45" s="1"/>
  <c r="Q21" i="45"/>
  <c r="Z20" i="45"/>
  <c r="Y20" i="45"/>
  <c r="S20" i="45"/>
  <c r="Q20" i="45"/>
  <c r="Z19" i="45"/>
  <c r="Y19" i="45"/>
  <c r="S19" i="45"/>
  <c r="Q19" i="45"/>
  <c r="Z18" i="45"/>
  <c r="Y18" i="45"/>
  <c r="S18" i="45"/>
  <c r="Q18" i="45"/>
  <c r="Z16" i="45"/>
  <c r="Y16" i="45"/>
  <c r="S16" i="45"/>
  <c r="Q16" i="45"/>
  <c r="Z14" i="45"/>
  <c r="Y14" i="45"/>
  <c r="S14" i="45"/>
  <c r="Q14" i="45"/>
  <c r="Z13" i="45"/>
  <c r="Y13" i="45"/>
  <c r="S13" i="45"/>
  <c r="Q13" i="45"/>
  <c r="Z12" i="45"/>
  <c r="Y12" i="45"/>
  <c r="S12" i="45"/>
  <c r="Q12" i="45"/>
  <c r="X12" i="45" s="1"/>
  <c r="Z11" i="45"/>
  <c r="Y11" i="45"/>
  <c r="S11" i="45"/>
  <c r="Q11" i="45"/>
  <c r="X11" i="45" s="1"/>
  <c r="Z10" i="45"/>
  <c r="Y10" i="45"/>
  <c r="S10" i="45"/>
  <c r="Q10" i="45"/>
  <c r="Z9" i="45"/>
  <c r="Y9" i="45"/>
  <c r="S9" i="45"/>
  <c r="Q9" i="45"/>
  <c r="Z7" i="45"/>
  <c r="Y7" i="45"/>
  <c r="S7" i="45"/>
  <c r="Q7" i="45"/>
  <c r="K62" i="45"/>
  <c r="P62" i="45" s="1"/>
  <c r="K61" i="45"/>
  <c r="P61" i="45" s="1"/>
  <c r="K60" i="45"/>
  <c r="P60" i="45" s="1"/>
  <c r="K38" i="45"/>
  <c r="K37" i="45"/>
  <c r="Q37" i="45" s="1"/>
  <c r="V37" i="45" s="1"/>
  <c r="W37" i="45" s="1"/>
  <c r="K36" i="45"/>
  <c r="P36" i="45" s="1"/>
  <c r="K14" i="45"/>
  <c r="P14" i="45" s="1"/>
  <c r="K13" i="45"/>
  <c r="P13" i="45" s="1"/>
  <c r="K12" i="45"/>
  <c r="P12" i="45" s="1"/>
  <c r="K7" i="45"/>
  <c r="P7" i="45" s="1"/>
  <c r="AA9" i="45"/>
  <c r="AQ7" i="45" l="1"/>
  <c r="AQ32" i="45"/>
  <c r="K19" i="45"/>
  <c r="P19" i="45" s="1"/>
  <c r="AD35" i="46"/>
  <c r="AD33" i="46"/>
  <c r="AM33" i="46"/>
  <c r="AO33" i="46" s="1"/>
  <c r="AP33" i="46" s="1"/>
  <c r="AI33" i="46"/>
  <c r="AJ33" i="46" s="1"/>
  <c r="AI34" i="46"/>
  <c r="AJ34" i="46" s="1"/>
  <c r="AM35" i="46"/>
  <c r="AO35" i="46" s="1"/>
  <c r="AP35" i="46" s="1"/>
  <c r="AI35" i="46"/>
  <c r="AJ35" i="46" s="1"/>
  <c r="V34" i="46"/>
  <c r="W34" i="46" s="1"/>
  <c r="R34" i="46"/>
  <c r="AF34" i="46"/>
  <c r="AF33" i="46"/>
  <c r="AF35" i="46"/>
  <c r="R33" i="46"/>
  <c r="R35" i="46"/>
  <c r="AQ61" i="45"/>
  <c r="AQ45" i="45"/>
  <c r="AI54" i="45"/>
  <c r="AJ54" i="45" s="1"/>
  <c r="AI55" i="45"/>
  <c r="AJ55" i="45" s="1"/>
  <c r="AI29" i="45"/>
  <c r="AJ29" i="45" s="1"/>
  <c r="AQ27" i="45"/>
  <c r="AI30" i="45"/>
  <c r="AJ30" i="45" s="1"/>
  <c r="AQ28" i="45"/>
  <c r="AI60" i="45"/>
  <c r="AJ60" i="45" s="1"/>
  <c r="AQ53" i="45"/>
  <c r="AI62" i="45"/>
  <c r="AJ62" i="45" s="1"/>
  <c r="AI38" i="45"/>
  <c r="AJ38" i="45" s="1"/>
  <c r="AI40" i="45"/>
  <c r="AJ40" i="45" s="1"/>
  <c r="AQ21" i="45"/>
  <c r="AI49" i="45"/>
  <c r="AJ49" i="45" s="1"/>
  <c r="AI56" i="45"/>
  <c r="AJ56" i="45" s="1"/>
  <c r="AI57" i="45"/>
  <c r="AJ57" i="45" s="1"/>
  <c r="AI58" i="45"/>
  <c r="AJ58" i="45" s="1"/>
  <c r="AI61" i="45"/>
  <c r="AJ61" i="45" s="1"/>
  <c r="AQ55" i="45"/>
  <c r="AI19" i="45"/>
  <c r="AJ19" i="45" s="1"/>
  <c r="AQ12" i="45"/>
  <c r="AQ20" i="45"/>
  <c r="AQ13" i="45"/>
  <c r="AQ18" i="45"/>
  <c r="AQ11" i="45"/>
  <c r="AQ19" i="45"/>
  <c r="AI42" i="45"/>
  <c r="AJ42" i="45" s="1"/>
  <c r="AL70" i="45"/>
  <c r="AE15" i="45"/>
  <c r="AM15" i="45" s="1"/>
  <c r="AO15" i="45" s="1"/>
  <c r="AP23" i="45"/>
  <c r="AI23" i="45"/>
  <c r="AJ23" i="45" s="1"/>
  <c r="AE37" i="45"/>
  <c r="AI50" i="45"/>
  <c r="AJ50" i="45" s="1"/>
  <c r="AI59" i="45"/>
  <c r="AJ59" i="45" s="1"/>
  <c r="H14" i="59"/>
  <c r="U20" i="45"/>
  <c r="V20" i="45"/>
  <c r="W20" i="45" s="1"/>
  <c r="P15" i="45"/>
  <c r="Q15" i="45"/>
  <c r="V15" i="45" s="1"/>
  <c r="W15" i="45" s="1"/>
  <c r="Q17" i="45"/>
  <c r="V17" i="45" s="1"/>
  <c r="W17" i="45" s="1"/>
  <c r="P17" i="45"/>
  <c r="P41" i="45"/>
  <c r="Q41" i="45"/>
  <c r="P43" i="45"/>
  <c r="Q43" i="45"/>
  <c r="V43" i="45" s="1"/>
  <c r="W43" i="45" s="1"/>
  <c r="P44" i="45"/>
  <c r="Q44" i="45"/>
  <c r="V44" i="45" s="1"/>
  <c r="W44" i="45" s="1"/>
  <c r="Q23" i="45"/>
  <c r="V23" i="45" s="1"/>
  <c r="W23" i="45" s="1"/>
  <c r="P23" i="45"/>
  <c r="Q24" i="45"/>
  <c r="V24" i="45" s="1"/>
  <c r="W24" i="45" s="1"/>
  <c r="P24" i="45"/>
  <c r="P50" i="45"/>
  <c r="Q50" i="45"/>
  <c r="V50" i="45" s="1"/>
  <c r="W50" i="45" s="1"/>
  <c r="Q26" i="45"/>
  <c r="P26" i="45"/>
  <c r="Q8" i="45"/>
  <c r="R8" i="45" s="1"/>
  <c r="P8" i="45"/>
  <c r="Q33" i="45"/>
  <c r="R33" i="45" s="1"/>
  <c r="P33" i="45"/>
  <c r="Q34" i="45"/>
  <c r="P34" i="45"/>
  <c r="P59" i="45"/>
  <c r="Q59" i="45"/>
  <c r="U11" i="45"/>
  <c r="U31" i="45"/>
  <c r="U16" i="45"/>
  <c r="U38" i="45"/>
  <c r="U51" i="45"/>
  <c r="T38" i="45"/>
  <c r="U61" i="45"/>
  <c r="U40" i="45"/>
  <c r="U18" i="45"/>
  <c r="U57" i="45"/>
  <c r="U62" i="45"/>
  <c r="U13" i="45"/>
  <c r="V22" i="45"/>
  <c r="W22" i="45" s="1"/>
  <c r="U29" i="45"/>
  <c r="U53" i="45"/>
  <c r="U36" i="45"/>
  <c r="U58" i="45"/>
  <c r="U10" i="45"/>
  <c r="U19" i="45"/>
  <c r="T36" i="45"/>
  <c r="V10" i="45"/>
  <c r="W10" i="45" s="1"/>
  <c r="U49" i="45"/>
  <c r="P37" i="45"/>
  <c r="U55" i="45"/>
  <c r="U60" i="45"/>
  <c r="U45" i="45"/>
  <c r="V16" i="45"/>
  <c r="W16" i="45" s="1"/>
  <c r="U12" i="45"/>
  <c r="U56" i="45"/>
  <c r="V12" i="45"/>
  <c r="W12" i="45" s="1"/>
  <c r="U28" i="45"/>
  <c r="U46" i="45"/>
  <c r="U52" i="45"/>
  <c r="U22" i="45"/>
  <c r="U9" i="45"/>
  <c r="V18" i="45"/>
  <c r="W18" i="45" s="1"/>
  <c r="U47" i="45"/>
  <c r="U14" i="45"/>
  <c r="V14" i="45"/>
  <c r="W14" i="45" s="1"/>
  <c r="U54" i="45"/>
  <c r="U7" i="45"/>
  <c r="V7" i="45"/>
  <c r="W7" i="45" s="1"/>
  <c r="R57" i="45"/>
  <c r="T57" i="45"/>
  <c r="V57" i="45"/>
  <c r="W57" i="45" s="1"/>
  <c r="R60" i="45"/>
  <c r="T60" i="45"/>
  <c r="V60" i="45"/>
  <c r="W60" i="45" s="1"/>
  <c r="X52" i="45"/>
  <c r="R49" i="45"/>
  <c r="R51" i="45"/>
  <c r="R53" i="45"/>
  <c r="R55" i="45"/>
  <c r="R61" i="45"/>
  <c r="T49" i="45"/>
  <c r="T51" i="45"/>
  <c r="T53" i="45"/>
  <c r="T55" i="45"/>
  <c r="T61" i="45"/>
  <c r="V49" i="45"/>
  <c r="W49" i="45" s="1"/>
  <c r="V51" i="45"/>
  <c r="W51" i="45" s="1"/>
  <c r="V53" i="45"/>
  <c r="W53" i="45" s="1"/>
  <c r="V55" i="45"/>
  <c r="W55" i="45" s="1"/>
  <c r="V61" i="45"/>
  <c r="W61" i="45" s="1"/>
  <c r="R52" i="45"/>
  <c r="R54" i="45"/>
  <c r="R56" i="45"/>
  <c r="R58" i="45"/>
  <c r="R62" i="45"/>
  <c r="T52" i="45"/>
  <c r="T54" i="45"/>
  <c r="T56" i="45"/>
  <c r="T58" i="45"/>
  <c r="T62" i="45"/>
  <c r="R40" i="45"/>
  <c r="R46" i="45"/>
  <c r="T40" i="45"/>
  <c r="T46" i="45"/>
  <c r="U42" i="45"/>
  <c r="V40" i="45"/>
  <c r="W40" i="45" s="1"/>
  <c r="V46" i="45"/>
  <c r="W46" i="45" s="1"/>
  <c r="R45" i="45"/>
  <c r="R47" i="45"/>
  <c r="T45" i="45"/>
  <c r="T47" i="45"/>
  <c r="V41" i="45"/>
  <c r="W41" i="45" s="1"/>
  <c r="V45" i="45"/>
  <c r="W45" i="45" s="1"/>
  <c r="V47" i="45"/>
  <c r="W47" i="45" s="1"/>
  <c r="R42" i="45"/>
  <c r="V42" i="45"/>
  <c r="W42" i="45" s="1"/>
  <c r="R37" i="45"/>
  <c r="X37" i="45"/>
  <c r="R36" i="45"/>
  <c r="R38" i="45"/>
  <c r="V36" i="45"/>
  <c r="W36" i="45" s="1"/>
  <c r="V38" i="45"/>
  <c r="W38" i="45" s="1"/>
  <c r="T31" i="45"/>
  <c r="U27" i="45"/>
  <c r="V27" i="45"/>
  <c r="W27" i="45" s="1"/>
  <c r="X27" i="45"/>
  <c r="R28" i="45"/>
  <c r="R30" i="45"/>
  <c r="R32" i="45"/>
  <c r="T29" i="45"/>
  <c r="V31" i="45"/>
  <c r="W31" i="45" s="1"/>
  <c r="R29" i="45"/>
  <c r="T28" i="45"/>
  <c r="U30" i="45"/>
  <c r="U32" i="45"/>
  <c r="V28" i="45"/>
  <c r="W28" i="45" s="1"/>
  <c r="V30" i="45"/>
  <c r="W30" i="45" s="1"/>
  <c r="V32" i="45"/>
  <c r="W32" i="45" s="1"/>
  <c r="V29" i="45"/>
  <c r="W29" i="45" s="1"/>
  <c r="V21" i="45"/>
  <c r="W21" i="45" s="1"/>
  <c r="R10" i="45"/>
  <c r="R12" i="45"/>
  <c r="R14" i="45"/>
  <c r="R16" i="45"/>
  <c r="R18" i="45"/>
  <c r="R20" i="45"/>
  <c r="R22" i="45"/>
  <c r="T10" i="45"/>
  <c r="T12" i="45"/>
  <c r="T14" i="45"/>
  <c r="T16" i="45"/>
  <c r="T18" i="45"/>
  <c r="T20" i="45"/>
  <c r="T22" i="45"/>
  <c r="R21" i="45"/>
  <c r="U21" i="45"/>
  <c r="V19" i="45"/>
  <c r="W19" i="45" s="1"/>
  <c r="R9" i="45"/>
  <c r="R11" i="45"/>
  <c r="R13" i="45"/>
  <c r="R19" i="45"/>
  <c r="T9" i="45"/>
  <c r="T11" i="45"/>
  <c r="T13" i="45"/>
  <c r="T19" i="45"/>
  <c r="V9" i="45"/>
  <c r="W9" i="45" s="1"/>
  <c r="V11" i="45"/>
  <c r="W11" i="45" s="1"/>
  <c r="V13" i="45"/>
  <c r="W13" i="45" s="1"/>
  <c r="R7" i="45"/>
  <c r="T7" i="45"/>
  <c r="AI37" i="45" l="1"/>
  <c r="AJ37" i="45" s="1"/>
  <c r="AM37" i="45"/>
  <c r="AO37" i="45" s="1"/>
  <c r="AP37" i="45" s="1"/>
  <c r="R34" i="45"/>
  <c r="V33" i="45"/>
  <c r="W33" i="45" s="1"/>
  <c r="AP15" i="45"/>
  <c r="AI15" i="45"/>
  <c r="AJ15" i="45" s="1"/>
  <c r="X15" i="45"/>
  <c r="R17" i="45"/>
  <c r="R15" i="45"/>
  <c r="R24" i="45"/>
  <c r="R23" i="45"/>
  <c r="R43" i="45"/>
  <c r="R41" i="45"/>
  <c r="V26" i="45"/>
  <c r="W26" i="45" s="1"/>
  <c r="V8" i="45"/>
  <c r="W8" i="45" s="1"/>
  <c r="R50" i="45"/>
  <c r="X50" i="45"/>
  <c r="X23" i="45"/>
  <c r="R44" i="45"/>
  <c r="R26" i="45"/>
  <c r="X59" i="45"/>
  <c r="V59" i="45"/>
  <c r="W59" i="45" s="1"/>
  <c r="V34" i="45"/>
  <c r="W34" i="45" s="1"/>
  <c r="R59" i="45"/>
  <c r="AA42" i="45" l="1"/>
  <c r="AC42" i="45" l="1"/>
  <c r="N6" i="55" l="1"/>
  <c r="I7" i="43"/>
  <c r="M7" i="43"/>
  <c r="N7" i="43"/>
  <c r="R7" i="43"/>
  <c r="S7" i="43"/>
  <c r="U7" i="43"/>
  <c r="X32" i="14"/>
  <c r="M129" i="43" l="1"/>
  <c r="M127" i="43"/>
  <c r="M125" i="43"/>
  <c r="M124" i="43"/>
  <c r="M126" i="43"/>
  <c r="I119" i="43"/>
  <c r="I120" i="43"/>
  <c r="I121" i="43"/>
  <c r="M119" i="43"/>
  <c r="M120" i="43"/>
  <c r="M121" i="43"/>
  <c r="M118" i="43"/>
  <c r="I93" i="43"/>
  <c r="I94" i="43"/>
  <c r="I95" i="43"/>
  <c r="I96" i="43"/>
  <c r="I97" i="43"/>
  <c r="I98" i="43"/>
  <c r="I99" i="43"/>
  <c r="I100" i="43"/>
  <c r="I101" i="43"/>
  <c r="I102" i="43"/>
  <c r="I103" i="43"/>
  <c r="I104" i="43"/>
  <c r="I105" i="43"/>
  <c r="I106" i="43"/>
  <c r="I107" i="43"/>
  <c r="I108" i="43"/>
  <c r="I109" i="43"/>
  <c r="I110" i="43"/>
  <c r="M93" i="43"/>
  <c r="M94" i="43"/>
  <c r="M95" i="43"/>
  <c r="M96" i="43"/>
  <c r="M97" i="43"/>
  <c r="M98" i="43"/>
  <c r="M99" i="43"/>
  <c r="M100" i="43"/>
  <c r="M101" i="43"/>
  <c r="M102" i="43"/>
  <c r="M103" i="43"/>
  <c r="M104" i="43"/>
  <c r="M105" i="43"/>
  <c r="M106" i="43"/>
  <c r="M107" i="43"/>
  <c r="M108" i="43"/>
  <c r="M109" i="43"/>
  <c r="M110" i="43"/>
  <c r="M92" i="43"/>
  <c r="I67" i="43"/>
  <c r="I68" i="43"/>
  <c r="I69" i="43"/>
  <c r="I70" i="43"/>
  <c r="I71" i="43"/>
  <c r="I72" i="43"/>
  <c r="I73" i="43"/>
  <c r="I74" i="43"/>
  <c r="I75" i="43"/>
  <c r="I76" i="43"/>
  <c r="I77" i="43"/>
  <c r="I78" i="43"/>
  <c r="I79" i="43"/>
  <c r="I80" i="43"/>
  <c r="I81" i="43"/>
  <c r="I82" i="43"/>
  <c r="I83" i="43"/>
  <c r="M67" i="43"/>
  <c r="M68" i="43"/>
  <c r="M69" i="43"/>
  <c r="M70" i="43"/>
  <c r="M71" i="43"/>
  <c r="M72" i="43"/>
  <c r="M73" i="43"/>
  <c r="M74" i="43"/>
  <c r="M75" i="43"/>
  <c r="M76" i="43"/>
  <c r="M77" i="43"/>
  <c r="M78" i="43"/>
  <c r="M79" i="43"/>
  <c r="M80" i="43"/>
  <c r="M81" i="43"/>
  <c r="M82" i="43"/>
  <c r="M83" i="43"/>
  <c r="M66" i="43"/>
  <c r="M10" i="43"/>
  <c r="M11" i="43"/>
  <c r="M12" i="43"/>
  <c r="M13" i="43"/>
  <c r="M14" i="43"/>
  <c r="M15" i="43"/>
  <c r="M16" i="43"/>
  <c r="M17" i="43"/>
  <c r="M18" i="43"/>
  <c r="M19" i="43"/>
  <c r="M20" i="43"/>
  <c r="M21" i="43"/>
  <c r="M22" i="43"/>
  <c r="M23" i="43"/>
  <c r="M24" i="43"/>
  <c r="M25" i="43"/>
  <c r="M26" i="43"/>
  <c r="M27" i="43"/>
  <c r="M28" i="43"/>
  <c r="M29" i="43"/>
  <c r="M30" i="43"/>
  <c r="M31" i="43"/>
  <c r="M32" i="43"/>
  <c r="M33" i="43"/>
  <c r="M34" i="43"/>
  <c r="M35" i="43"/>
  <c r="M36" i="43"/>
  <c r="M37" i="43"/>
  <c r="M38" i="43"/>
  <c r="M39" i="43"/>
  <c r="M40" i="43"/>
  <c r="M41" i="43"/>
  <c r="M42" i="43"/>
  <c r="M43" i="43"/>
  <c r="M44" i="43"/>
  <c r="M45" i="43"/>
  <c r="M46" i="43"/>
  <c r="M47" i="43"/>
  <c r="M48" i="43"/>
  <c r="M49" i="43"/>
  <c r="M50" i="43"/>
  <c r="M51" i="43"/>
  <c r="M52" i="43"/>
  <c r="M53" i="43"/>
  <c r="M54" i="43"/>
  <c r="M9" i="43"/>
  <c r="I53" i="43"/>
  <c r="I54" i="43"/>
  <c r="I10" i="43"/>
  <c r="I11" i="43"/>
  <c r="I12" i="43"/>
  <c r="I13" i="43"/>
  <c r="I14" i="43"/>
  <c r="I15" i="43"/>
  <c r="I16" i="43"/>
  <c r="I17" i="43"/>
  <c r="I18" i="43"/>
  <c r="I19" i="43"/>
  <c r="I20" i="43"/>
  <c r="I21" i="43"/>
  <c r="I22" i="43"/>
  <c r="I23" i="43"/>
  <c r="I24" i="43"/>
  <c r="I25" i="43"/>
  <c r="I26" i="43"/>
  <c r="I27" i="43"/>
  <c r="I28" i="43"/>
  <c r="I29" i="43"/>
  <c r="I30" i="43"/>
  <c r="I31" i="43"/>
  <c r="I32" i="43"/>
  <c r="I33" i="43"/>
  <c r="I34" i="43"/>
  <c r="I35" i="43"/>
  <c r="I36" i="43"/>
  <c r="I37" i="43"/>
  <c r="I38" i="43"/>
  <c r="I39" i="43"/>
  <c r="I40" i="43"/>
  <c r="I41" i="43"/>
  <c r="I42" i="43"/>
  <c r="I43" i="43"/>
  <c r="I44" i="43"/>
  <c r="I45" i="43"/>
  <c r="I46" i="43"/>
  <c r="I47" i="43"/>
  <c r="I48" i="43"/>
  <c r="I49" i="43"/>
  <c r="I50" i="43"/>
  <c r="I51" i="43"/>
  <c r="I52" i="43"/>
  <c r="I9" i="43"/>
  <c r="R6" i="43"/>
  <c r="S6" i="43"/>
  <c r="S5" i="43"/>
  <c r="R5" i="43"/>
  <c r="M5" i="43"/>
  <c r="S129" i="43"/>
  <c r="S127" i="43"/>
  <c r="S125" i="43"/>
  <c r="S124" i="43"/>
  <c r="S126" i="43"/>
  <c r="S119" i="43"/>
  <c r="S120" i="43"/>
  <c r="S121" i="43"/>
  <c r="S118" i="43"/>
  <c r="S110" i="43"/>
  <c r="S93" i="43"/>
  <c r="S94" i="43"/>
  <c r="S95" i="43"/>
  <c r="S96" i="43"/>
  <c r="S97" i="43"/>
  <c r="S98" i="43"/>
  <c r="S99" i="43"/>
  <c r="S100" i="43"/>
  <c r="S101" i="43"/>
  <c r="S102" i="43"/>
  <c r="S103" i="43"/>
  <c r="S104" i="43"/>
  <c r="S105" i="43"/>
  <c r="S106" i="43"/>
  <c r="S107" i="43"/>
  <c r="S108" i="43"/>
  <c r="S109" i="43"/>
  <c r="S92" i="43"/>
  <c r="S67" i="43"/>
  <c r="S68" i="43"/>
  <c r="S69" i="43"/>
  <c r="S70" i="43"/>
  <c r="S71" i="43"/>
  <c r="S72" i="43"/>
  <c r="S73" i="43"/>
  <c r="S74" i="43"/>
  <c r="S75" i="43"/>
  <c r="S76" i="43"/>
  <c r="S77" i="43"/>
  <c r="S78" i="43"/>
  <c r="S79" i="43"/>
  <c r="S80" i="43"/>
  <c r="S81" i="43"/>
  <c r="S82" i="43"/>
  <c r="S83" i="43"/>
  <c r="S66" i="43"/>
  <c r="S54" i="43"/>
  <c r="S55" i="43"/>
  <c r="S56" i="43"/>
  <c r="S57" i="43"/>
  <c r="S58" i="43"/>
  <c r="S59" i="43"/>
  <c r="S60" i="43"/>
  <c r="S61" i="43"/>
  <c r="S62" i="43"/>
  <c r="S63" i="43"/>
  <c r="S64" i="43"/>
  <c r="S10" i="43"/>
  <c r="S11" i="43"/>
  <c r="S12" i="43"/>
  <c r="S13" i="43"/>
  <c r="S14" i="43"/>
  <c r="S15" i="43"/>
  <c r="S16" i="43"/>
  <c r="S17" i="43"/>
  <c r="S18" i="43"/>
  <c r="S19" i="43"/>
  <c r="S20" i="43"/>
  <c r="S21" i="43"/>
  <c r="S22" i="43"/>
  <c r="S23" i="43"/>
  <c r="S24" i="43"/>
  <c r="S25" i="43"/>
  <c r="S26" i="43"/>
  <c r="S27" i="43"/>
  <c r="S28" i="43"/>
  <c r="S29" i="43"/>
  <c r="S30" i="43"/>
  <c r="S31" i="43"/>
  <c r="S32" i="43"/>
  <c r="S33" i="43"/>
  <c r="S34" i="43"/>
  <c r="S35" i="43"/>
  <c r="S36" i="43"/>
  <c r="S37" i="43"/>
  <c r="S38" i="43"/>
  <c r="S39" i="43"/>
  <c r="S40" i="43"/>
  <c r="S41" i="43"/>
  <c r="S42" i="43"/>
  <c r="S43" i="43"/>
  <c r="S44" i="43"/>
  <c r="S45" i="43"/>
  <c r="S46" i="43"/>
  <c r="S47" i="43"/>
  <c r="S48" i="43"/>
  <c r="S49" i="43"/>
  <c r="S50" i="43"/>
  <c r="S51" i="43"/>
  <c r="S52" i="43"/>
  <c r="S53" i="43"/>
  <c r="S9" i="43"/>
  <c r="R129" i="43"/>
  <c r="R127" i="43"/>
  <c r="R126" i="43"/>
  <c r="R125" i="43"/>
  <c r="R124" i="43"/>
  <c r="R119" i="43"/>
  <c r="R120" i="43"/>
  <c r="R121" i="43"/>
  <c r="R118" i="43"/>
  <c r="R93" i="43"/>
  <c r="R94" i="43"/>
  <c r="R95" i="43"/>
  <c r="R96" i="43"/>
  <c r="R97" i="43"/>
  <c r="R98" i="43"/>
  <c r="R99" i="43"/>
  <c r="R100" i="43"/>
  <c r="R101" i="43"/>
  <c r="R102" i="43"/>
  <c r="R103" i="43"/>
  <c r="R104" i="43"/>
  <c r="R105" i="43"/>
  <c r="R106" i="43"/>
  <c r="R107" i="43"/>
  <c r="R108" i="43"/>
  <c r="R109" i="43"/>
  <c r="R110" i="43"/>
  <c r="R92" i="43"/>
  <c r="R67" i="43"/>
  <c r="R68" i="43"/>
  <c r="R69" i="43"/>
  <c r="R70" i="43"/>
  <c r="R71" i="43"/>
  <c r="R72" i="43"/>
  <c r="R73" i="43"/>
  <c r="R74" i="43"/>
  <c r="R75" i="43"/>
  <c r="R76" i="43"/>
  <c r="R77" i="43"/>
  <c r="R78" i="43"/>
  <c r="R79" i="43"/>
  <c r="R80" i="43"/>
  <c r="R81" i="43"/>
  <c r="R82" i="43"/>
  <c r="R83" i="43"/>
  <c r="R66" i="43"/>
  <c r="R10" i="43"/>
  <c r="R11" i="43"/>
  <c r="R12" i="43"/>
  <c r="R13" i="43"/>
  <c r="R14" i="43"/>
  <c r="R15" i="43"/>
  <c r="R16" i="43"/>
  <c r="R17" i="43"/>
  <c r="R18" i="43"/>
  <c r="R19" i="43"/>
  <c r="R20" i="43"/>
  <c r="R21" i="43"/>
  <c r="R22" i="43"/>
  <c r="R23" i="43"/>
  <c r="R24" i="43"/>
  <c r="R25" i="43"/>
  <c r="R26" i="43"/>
  <c r="R27" i="43"/>
  <c r="R28" i="43"/>
  <c r="R29" i="43"/>
  <c r="R30" i="43"/>
  <c r="R31" i="43"/>
  <c r="R32" i="43"/>
  <c r="R33" i="43"/>
  <c r="R34" i="43"/>
  <c r="R35" i="43"/>
  <c r="R36" i="43"/>
  <c r="R37" i="43"/>
  <c r="R38" i="43"/>
  <c r="R39" i="43"/>
  <c r="R40" i="43"/>
  <c r="R41" i="43"/>
  <c r="R42" i="43"/>
  <c r="R43" i="43"/>
  <c r="R44" i="43"/>
  <c r="R45" i="43"/>
  <c r="R46" i="43"/>
  <c r="R47" i="43"/>
  <c r="R48" i="43"/>
  <c r="R49" i="43"/>
  <c r="R50" i="43"/>
  <c r="R51" i="43"/>
  <c r="R52" i="43"/>
  <c r="R53" i="43"/>
  <c r="R54" i="43"/>
  <c r="R9" i="43"/>
  <c r="I5" i="43"/>
  <c r="G20" i="51"/>
  <c r="K20" i="51"/>
  <c r="G18" i="51"/>
  <c r="K18" i="51"/>
  <c r="G19" i="51"/>
  <c r="K19" i="51" s="1"/>
  <c r="F20" i="68"/>
  <c r="F19" i="68"/>
  <c r="H13" i="48" l="1"/>
  <c r="G17" i="51"/>
  <c r="K17" i="51" s="1"/>
  <c r="L14" i="55"/>
  <c r="L13" i="55"/>
  <c r="H16" i="48" l="1"/>
  <c r="H15" i="48"/>
  <c r="N13" i="76"/>
  <c r="F19" i="70"/>
  <c r="B13" i="67"/>
  <c r="C13" i="67"/>
  <c r="B14" i="67"/>
  <c r="C14" i="67"/>
  <c r="B15" i="67"/>
  <c r="C15" i="67"/>
  <c r="B16" i="67"/>
  <c r="C16" i="67"/>
  <c r="R15" i="76"/>
  <c r="R40" i="76" s="1"/>
  <c r="Q35" i="77"/>
  <c r="Q37" i="77" s="1"/>
  <c r="BV15" i="76"/>
  <c r="BV40" i="76" s="1"/>
  <c r="BR15" i="76"/>
  <c r="BR40" i="76" s="1"/>
  <c r="BN15" i="76"/>
  <c r="BN40" i="76" s="1"/>
  <c r="BJ15" i="76"/>
  <c r="BJ40" i="76" s="1"/>
  <c r="BF15" i="76"/>
  <c r="BF40" i="76" s="1"/>
  <c r="BB15" i="76"/>
  <c r="BB40" i="76" s="1"/>
  <c r="AX15" i="76"/>
  <c r="AX40" i="76" s="1"/>
  <c r="V15" i="76"/>
  <c r="V40" i="76" s="1"/>
  <c r="Z15" i="76"/>
  <c r="Z40" i="76"/>
  <c r="AL15" i="76"/>
  <c r="AL40" i="76" s="1"/>
  <c r="AT15" i="76"/>
  <c r="AT40" i="76" s="1"/>
  <c r="AP15" i="76"/>
  <c r="AP40" i="76" s="1"/>
  <c r="AA28" i="14"/>
  <c r="X28" i="14"/>
  <c r="W28" i="14"/>
  <c r="V28" i="14"/>
  <c r="I127" i="43" s="1"/>
  <c r="N127" i="43" s="1"/>
  <c r="AA27" i="14"/>
  <c r="X27" i="14"/>
  <c r="W27" i="14"/>
  <c r="V27" i="14"/>
  <c r="AA26" i="14"/>
  <c r="X26" i="14"/>
  <c r="W26" i="14"/>
  <c r="V26" i="14"/>
  <c r="AA25" i="14"/>
  <c r="X25" i="14"/>
  <c r="W25" i="14"/>
  <c r="V25" i="14"/>
  <c r="AA24" i="14"/>
  <c r="X24" i="14"/>
  <c r="W24" i="14"/>
  <c r="V24" i="14"/>
  <c r="AA23" i="14"/>
  <c r="X23" i="14"/>
  <c r="W23" i="14"/>
  <c r="V23" i="14"/>
  <c r="AA22" i="14"/>
  <c r="X22" i="14"/>
  <c r="W22" i="14"/>
  <c r="V22" i="14"/>
  <c r="AA21" i="14"/>
  <c r="X21" i="14"/>
  <c r="W21" i="14"/>
  <c r="V21" i="14"/>
  <c r="AA20" i="14"/>
  <c r="X20" i="14"/>
  <c r="W20" i="14"/>
  <c r="V20" i="14"/>
  <c r="AA19" i="14"/>
  <c r="X19" i="14"/>
  <c r="W19" i="14"/>
  <c r="V19" i="14"/>
  <c r="AA18" i="14"/>
  <c r="X18" i="14"/>
  <c r="W18" i="14"/>
  <c r="V18" i="14"/>
  <c r="AA17" i="14"/>
  <c r="X17" i="14"/>
  <c r="W17" i="14"/>
  <c r="V17" i="14"/>
  <c r="AA16" i="14"/>
  <c r="X16" i="14"/>
  <c r="W16" i="14"/>
  <c r="V16" i="14"/>
  <c r="AA15" i="14"/>
  <c r="X15" i="14"/>
  <c r="W15" i="14"/>
  <c r="V15" i="14"/>
  <c r="AA14" i="14"/>
  <c r="X14" i="14"/>
  <c r="W14" i="14"/>
  <c r="V14" i="14"/>
  <c r="AA13" i="14"/>
  <c r="X13" i="14"/>
  <c r="W13" i="14"/>
  <c r="V13" i="14"/>
  <c r="AA12" i="14"/>
  <c r="X12" i="14"/>
  <c r="W12" i="14"/>
  <c r="V12" i="14"/>
  <c r="AA11" i="14"/>
  <c r="X11" i="14"/>
  <c r="W11" i="14"/>
  <c r="V11" i="14"/>
  <c r="AA10" i="14"/>
  <c r="X10" i="14"/>
  <c r="W10" i="14"/>
  <c r="V10" i="14"/>
  <c r="AA9" i="14"/>
  <c r="X9" i="14"/>
  <c r="W9" i="14"/>
  <c r="V9" i="14"/>
  <c r="AA8" i="14"/>
  <c r="X8" i="14"/>
  <c r="W8" i="14"/>
  <c r="V8" i="14"/>
  <c r="E22" i="62"/>
  <c r="E23" i="62"/>
  <c r="G7" i="51"/>
  <c r="G6" i="51"/>
  <c r="G4" i="51"/>
  <c r="H10" i="51"/>
  <c r="H7" i="51"/>
  <c r="H6" i="51"/>
  <c r="L8" i="52"/>
  <c r="L7" i="52"/>
  <c r="AM98" i="46"/>
  <c r="AO98" i="46" s="1"/>
  <c r="AP98" i="46" s="1"/>
  <c r="AM96" i="46"/>
  <c r="AO96" i="46" s="1"/>
  <c r="AP96" i="46" s="1"/>
  <c r="AM91" i="46"/>
  <c r="AO91" i="46" s="1"/>
  <c r="AP91" i="46" s="1"/>
  <c r="AM87" i="46"/>
  <c r="AO87" i="46" s="1"/>
  <c r="AP87" i="46" s="1"/>
  <c r="AM85" i="46"/>
  <c r="AO85" i="46" s="1"/>
  <c r="AP85" i="46" s="1"/>
  <c r="AM78" i="46"/>
  <c r="AO78" i="46" s="1"/>
  <c r="AP78" i="46" s="1"/>
  <c r="AM76" i="46"/>
  <c r="AO76" i="46" s="1"/>
  <c r="AP76" i="46" s="1"/>
  <c r="AM74" i="46"/>
  <c r="AO74" i="46" s="1"/>
  <c r="AP74" i="46" s="1"/>
  <c r="AM73" i="46"/>
  <c r="AO73" i="46" s="1"/>
  <c r="AP73" i="46" s="1"/>
  <c r="AM71" i="46"/>
  <c r="AO71" i="46" s="1"/>
  <c r="AP71" i="46" s="1"/>
  <c r="AM70" i="46"/>
  <c r="AO70" i="46" s="1"/>
  <c r="AP70" i="46" s="1"/>
  <c r="AM65" i="46"/>
  <c r="AM59" i="46"/>
  <c r="AM56" i="46"/>
  <c r="AM54" i="46"/>
  <c r="AO54" i="46" s="1"/>
  <c r="AP54" i="46" s="1"/>
  <c r="AM53" i="46"/>
  <c r="AM46" i="46"/>
  <c r="AO46" i="46" s="1"/>
  <c r="AP46" i="46" s="1"/>
  <c r="AM44" i="46"/>
  <c r="AO44" i="46" s="1"/>
  <c r="AP44" i="46" s="1"/>
  <c r="AM36" i="46"/>
  <c r="AO36" i="46" s="1"/>
  <c r="AP36" i="46" s="1"/>
  <c r="AM30" i="46"/>
  <c r="AO30" i="46" s="1"/>
  <c r="AP30" i="46" s="1"/>
  <c r="AM27" i="46"/>
  <c r="AO27" i="46" s="1"/>
  <c r="AP27" i="46" s="1"/>
  <c r="AM25" i="46"/>
  <c r="AO25" i="46" s="1"/>
  <c r="AP25" i="46" s="1"/>
  <c r="AM18" i="46"/>
  <c r="AO18" i="46" s="1"/>
  <c r="AP18" i="46" s="1"/>
  <c r="AM12" i="46"/>
  <c r="AO12" i="46" s="1"/>
  <c r="AP12" i="46" s="1"/>
  <c r="J25" i="55"/>
  <c r="J20" i="55"/>
  <c r="U127" i="43"/>
  <c r="E127" i="57"/>
  <c r="F127" i="57" s="1"/>
  <c r="A127" i="57"/>
  <c r="B127" i="57"/>
  <c r="E105" i="57"/>
  <c r="F105" i="57" s="1"/>
  <c r="E106" i="57"/>
  <c r="F106" i="57" s="1"/>
  <c r="E107" i="57"/>
  <c r="F107" i="57" s="1"/>
  <c r="E108" i="57"/>
  <c r="F108" i="57" s="1"/>
  <c r="E109" i="57"/>
  <c r="F109" i="57" s="1"/>
  <c r="E110" i="57"/>
  <c r="F110" i="57"/>
  <c r="E111" i="57"/>
  <c r="F111" i="57" s="1"/>
  <c r="E112" i="57"/>
  <c r="F112" i="57"/>
  <c r="E113" i="57"/>
  <c r="F113" i="57" s="1"/>
  <c r="E114" i="57"/>
  <c r="F114" i="57" s="1"/>
  <c r="E115" i="57"/>
  <c r="F115" i="57" s="1"/>
  <c r="E116" i="57"/>
  <c r="F116" i="57" s="1"/>
  <c r="A105" i="57"/>
  <c r="B105" i="57"/>
  <c r="A106" i="57"/>
  <c r="B106" i="57"/>
  <c r="A107" i="57"/>
  <c r="B107" i="57"/>
  <c r="A108" i="57"/>
  <c r="B108" i="57"/>
  <c r="A109" i="57"/>
  <c r="B109" i="57"/>
  <c r="A110" i="57"/>
  <c r="B110" i="57"/>
  <c r="A111" i="57"/>
  <c r="B111" i="57"/>
  <c r="A112" i="57"/>
  <c r="B112" i="57"/>
  <c r="A113" i="57"/>
  <c r="B113" i="57"/>
  <c r="A114" i="57"/>
  <c r="B114" i="57"/>
  <c r="A115" i="57"/>
  <c r="B115" i="57"/>
  <c r="U105" i="43"/>
  <c r="U106" i="43"/>
  <c r="U107" i="43"/>
  <c r="U108" i="43"/>
  <c r="U109" i="43"/>
  <c r="U110" i="43"/>
  <c r="U111" i="43"/>
  <c r="U112" i="43"/>
  <c r="U113" i="43"/>
  <c r="U114" i="43"/>
  <c r="U115" i="43"/>
  <c r="N105" i="43"/>
  <c r="N106" i="43"/>
  <c r="N107" i="43"/>
  <c r="N108" i="43"/>
  <c r="N109" i="43"/>
  <c r="N110" i="43"/>
  <c r="I111" i="43"/>
  <c r="N111" i="43" s="1"/>
  <c r="I112" i="43"/>
  <c r="N112" i="43" s="1"/>
  <c r="I113" i="43"/>
  <c r="N113" i="43" s="1"/>
  <c r="I114" i="43"/>
  <c r="N114" i="43" s="1"/>
  <c r="I115" i="43"/>
  <c r="N115" i="43" s="1"/>
  <c r="U119" i="43"/>
  <c r="U120" i="43"/>
  <c r="N121" i="43"/>
  <c r="U121" i="43"/>
  <c r="E119" i="57"/>
  <c r="F119" i="57" s="1"/>
  <c r="E120" i="57"/>
  <c r="F120" i="57"/>
  <c r="E121" i="57"/>
  <c r="F121" i="57" s="1"/>
  <c r="E122" i="57"/>
  <c r="F122" i="57"/>
  <c r="B119" i="57"/>
  <c r="B120" i="57"/>
  <c r="B121" i="57"/>
  <c r="B122" i="57"/>
  <c r="A119" i="57"/>
  <c r="A120" i="57"/>
  <c r="A121" i="57"/>
  <c r="A122" i="57"/>
  <c r="E69" i="57"/>
  <c r="F69" i="57" s="1"/>
  <c r="E70" i="57"/>
  <c r="F70" i="57" s="1"/>
  <c r="E71" i="57"/>
  <c r="F71" i="57" s="1"/>
  <c r="E72" i="57"/>
  <c r="F72" i="57" s="1"/>
  <c r="E73" i="57"/>
  <c r="F73" i="57" s="1"/>
  <c r="E74" i="57"/>
  <c r="F74" i="57"/>
  <c r="E75" i="57"/>
  <c r="F75" i="57" s="1"/>
  <c r="E76" i="57"/>
  <c r="F76" i="57"/>
  <c r="E77" i="57"/>
  <c r="F77" i="57" s="1"/>
  <c r="E78" i="57"/>
  <c r="F78" i="57" s="1"/>
  <c r="E79" i="57"/>
  <c r="F79" i="57" s="1"/>
  <c r="E80" i="57"/>
  <c r="F80" i="57"/>
  <c r="E81" i="57"/>
  <c r="F81" i="57" s="1"/>
  <c r="E82" i="57"/>
  <c r="F82" i="57" s="1"/>
  <c r="E83" i="57"/>
  <c r="F83" i="57" s="1"/>
  <c r="E84" i="57"/>
  <c r="F84" i="57" s="1"/>
  <c r="E85" i="57"/>
  <c r="F85" i="57" s="1"/>
  <c r="E86" i="57"/>
  <c r="F86" i="57"/>
  <c r="E87" i="57"/>
  <c r="F87" i="57" s="1"/>
  <c r="E88" i="57"/>
  <c r="F88" i="57" s="1"/>
  <c r="E89" i="57"/>
  <c r="F89" i="57" s="1"/>
  <c r="E90" i="57"/>
  <c r="F90" i="57" s="1"/>
  <c r="U67" i="43"/>
  <c r="U68" i="43"/>
  <c r="U69" i="43"/>
  <c r="U70" i="43"/>
  <c r="U71" i="43"/>
  <c r="U72" i="43"/>
  <c r="U73" i="43"/>
  <c r="U74" i="43"/>
  <c r="U75" i="43"/>
  <c r="U76" i="43"/>
  <c r="U77" i="43"/>
  <c r="U78" i="43"/>
  <c r="U79" i="43"/>
  <c r="U80" i="43"/>
  <c r="U81" i="43"/>
  <c r="U82" i="43"/>
  <c r="U83" i="43"/>
  <c r="U84" i="43"/>
  <c r="U85" i="43"/>
  <c r="U86" i="43"/>
  <c r="U87" i="43"/>
  <c r="U88" i="43"/>
  <c r="U89" i="43"/>
  <c r="U90" i="43"/>
  <c r="N67" i="43"/>
  <c r="N68" i="43"/>
  <c r="N69" i="43"/>
  <c r="N70" i="43"/>
  <c r="N71" i="43"/>
  <c r="N72" i="43"/>
  <c r="N73" i="43"/>
  <c r="N74" i="43"/>
  <c r="N75" i="43"/>
  <c r="N76" i="43"/>
  <c r="N77" i="43"/>
  <c r="N78" i="43"/>
  <c r="N79" i="43"/>
  <c r="N80" i="43"/>
  <c r="N81" i="43"/>
  <c r="N82" i="43"/>
  <c r="N83" i="43"/>
  <c r="I84" i="43"/>
  <c r="N84" i="43" s="1"/>
  <c r="I85" i="43"/>
  <c r="N85" i="43" s="1"/>
  <c r="I86" i="43"/>
  <c r="N86" i="43"/>
  <c r="I87" i="43"/>
  <c r="N87" i="43" s="1"/>
  <c r="I88" i="43"/>
  <c r="N88" i="43"/>
  <c r="I89" i="43"/>
  <c r="N89" i="43" s="1"/>
  <c r="I90" i="43"/>
  <c r="N90" i="43" s="1"/>
  <c r="B69" i="57"/>
  <c r="B70" i="57"/>
  <c r="B71" i="57"/>
  <c r="B72" i="57"/>
  <c r="B73" i="57"/>
  <c r="B74" i="57"/>
  <c r="B75" i="57"/>
  <c r="B76" i="57"/>
  <c r="B77" i="57"/>
  <c r="B78" i="57"/>
  <c r="B79" i="57"/>
  <c r="B80" i="57"/>
  <c r="B81" i="57"/>
  <c r="B82" i="57"/>
  <c r="B83" i="57"/>
  <c r="B84" i="57"/>
  <c r="B85" i="57"/>
  <c r="B86" i="57"/>
  <c r="B87" i="57"/>
  <c r="B88" i="57"/>
  <c r="B89" i="57"/>
  <c r="A69" i="57"/>
  <c r="A70" i="57"/>
  <c r="A71" i="57"/>
  <c r="A72" i="57"/>
  <c r="A73" i="57"/>
  <c r="A74" i="57"/>
  <c r="A75" i="57"/>
  <c r="A76" i="57"/>
  <c r="A77" i="57"/>
  <c r="A78" i="57"/>
  <c r="A79" i="57"/>
  <c r="A80" i="57"/>
  <c r="A81" i="57"/>
  <c r="A82" i="57"/>
  <c r="A83" i="57"/>
  <c r="A84" i="57"/>
  <c r="A85" i="57"/>
  <c r="A86" i="57"/>
  <c r="A87" i="57"/>
  <c r="A88" i="57"/>
  <c r="A89" i="57"/>
  <c r="A90" i="57"/>
  <c r="N119" i="43"/>
  <c r="N120" i="43"/>
  <c r="T26" i="56"/>
  <c r="T24" i="56"/>
  <c r="T22" i="56"/>
  <c r="T20" i="56"/>
  <c r="T19" i="56"/>
  <c r="T18" i="56"/>
  <c r="T17" i="56"/>
  <c r="T16" i="56"/>
  <c r="T14" i="56"/>
  <c r="T13" i="56"/>
  <c r="T11" i="56"/>
  <c r="T10" i="56"/>
  <c r="T9" i="56"/>
  <c r="T8" i="56"/>
  <c r="P26" i="56"/>
  <c r="P24" i="56"/>
  <c r="P22" i="56"/>
  <c r="P20" i="56"/>
  <c r="P19" i="56"/>
  <c r="P18" i="56"/>
  <c r="U18" i="56" s="1"/>
  <c r="X18" i="56" s="1"/>
  <c r="P17" i="56"/>
  <c r="U17" i="56" s="1"/>
  <c r="P14" i="56"/>
  <c r="U14" i="56" s="1"/>
  <c r="P13" i="56"/>
  <c r="U13" i="56" s="1"/>
  <c r="AO65" i="46"/>
  <c r="AP65" i="46" s="1"/>
  <c r="AO59" i="46"/>
  <c r="AP59" i="46" s="1"/>
  <c r="AO53" i="46"/>
  <c r="AP53" i="46" s="1"/>
  <c r="Y78" i="46"/>
  <c r="Y76" i="46"/>
  <c r="Y74" i="46"/>
  <c r="Y73" i="46"/>
  <c r="Y71" i="46"/>
  <c r="Y70" i="46"/>
  <c r="Y65" i="46"/>
  <c r="Y59" i="46"/>
  <c r="Y54" i="46"/>
  <c r="Y53" i="46"/>
  <c r="Y46" i="46"/>
  <c r="Y44" i="46"/>
  <c r="Y36" i="46"/>
  <c r="Y30" i="46"/>
  <c r="Y27" i="46"/>
  <c r="Y25" i="46"/>
  <c r="Y18" i="46"/>
  <c r="F4" i="68"/>
  <c r="D11" i="69"/>
  <c r="H11" i="69"/>
  <c r="F10" i="69"/>
  <c r="F7" i="69"/>
  <c r="F5" i="69"/>
  <c r="H5" i="69" s="1"/>
  <c r="F4" i="69"/>
  <c r="H4" i="69" s="1"/>
  <c r="H16" i="69" s="1"/>
  <c r="F111" i="70"/>
  <c r="F105" i="70"/>
  <c r="F103" i="70"/>
  <c r="F102" i="70"/>
  <c r="F101" i="70"/>
  <c r="F100" i="70"/>
  <c r="F99" i="70"/>
  <c r="F98" i="70"/>
  <c r="F96" i="70"/>
  <c r="F95" i="70"/>
  <c r="F94" i="70"/>
  <c r="F93" i="70"/>
  <c r="F92" i="70"/>
  <c r="F91" i="70"/>
  <c r="F84" i="70"/>
  <c r="F82" i="70"/>
  <c r="F81" i="70"/>
  <c r="F80" i="70"/>
  <c r="F79" i="70"/>
  <c r="F78" i="70"/>
  <c r="F77" i="70"/>
  <c r="F75" i="70"/>
  <c r="F74" i="70"/>
  <c r="F73" i="70"/>
  <c r="F72" i="70"/>
  <c r="F71" i="70"/>
  <c r="F68" i="70" s="1"/>
  <c r="F70" i="70"/>
  <c r="F63" i="70"/>
  <c r="F61" i="70"/>
  <c r="F60" i="70"/>
  <c r="F59" i="70"/>
  <c r="F58" i="70"/>
  <c r="F57" i="70"/>
  <c r="F56" i="70"/>
  <c r="F54" i="70"/>
  <c r="F53" i="70"/>
  <c r="F52" i="70"/>
  <c r="F51" i="70"/>
  <c r="F50" i="70"/>
  <c r="F49" i="70"/>
  <c r="F42" i="70"/>
  <c r="F40" i="70"/>
  <c r="F39" i="70"/>
  <c r="F38" i="70"/>
  <c r="F37" i="70"/>
  <c r="F36" i="70"/>
  <c r="F35" i="70"/>
  <c r="F33" i="70"/>
  <c r="F32" i="70"/>
  <c r="F31" i="70"/>
  <c r="F30" i="70"/>
  <c r="F29" i="70"/>
  <c r="F28" i="70"/>
  <c r="F24" i="70"/>
  <c r="F21" i="70"/>
  <c r="F18" i="70"/>
  <c r="F17" i="70"/>
  <c r="F16" i="70"/>
  <c r="F15" i="70"/>
  <c r="F14" i="70"/>
  <c r="F13" i="70"/>
  <c r="F11" i="70"/>
  <c r="F10" i="70"/>
  <c r="F9" i="70"/>
  <c r="F8" i="70"/>
  <c r="F4" i="70" s="1"/>
  <c r="F7" i="70"/>
  <c r="F6" i="70"/>
  <c r="F17" i="68"/>
  <c r="F16" i="68"/>
  <c r="F14" i="68"/>
  <c r="F11" i="68"/>
  <c r="F10" i="68"/>
  <c r="F8" i="68"/>
  <c r="B7" i="68"/>
  <c r="F5" i="68"/>
  <c r="G16" i="51"/>
  <c r="G15" i="51"/>
  <c r="G14" i="51"/>
  <c r="G13" i="51"/>
  <c r="G11" i="51"/>
  <c r="O10" i="51"/>
  <c r="C11" i="51" s="1"/>
  <c r="G10" i="51"/>
  <c r="G8" i="51"/>
  <c r="D16" i="50"/>
  <c r="E16" i="50" s="1"/>
  <c r="D15" i="50"/>
  <c r="E15" i="50" s="1"/>
  <c r="D14" i="50"/>
  <c r="E14" i="50" s="1"/>
  <c r="E12" i="50"/>
  <c r="E11" i="50"/>
  <c r="E9" i="50"/>
  <c r="E7" i="50"/>
  <c r="D6" i="50"/>
  <c r="E6" i="50"/>
  <c r="D4" i="50"/>
  <c r="E4" i="50" s="1"/>
  <c r="H20" i="48"/>
  <c r="J20" i="48" s="1"/>
  <c r="H19" i="48"/>
  <c r="J19" i="48" s="1"/>
  <c r="H18" i="48"/>
  <c r="J18" i="48" s="1"/>
  <c r="H17" i="48"/>
  <c r="J17" i="48" s="1"/>
  <c r="J16" i="48"/>
  <c r="J15" i="48"/>
  <c r="E11" i="48"/>
  <c r="D11" i="48"/>
  <c r="H8" i="48"/>
  <c r="J8" i="48" s="1"/>
  <c r="D7" i="48"/>
  <c r="H7" i="48" s="1"/>
  <c r="J7" i="48" s="1"/>
  <c r="D4" i="48"/>
  <c r="E21" i="62"/>
  <c r="A21" i="62"/>
  <c r="E20" i="62"/>
  <c r="A20" i="62"/>
  <c r="E19" i="62"/>
  <c r="A19" i="62"/>
  <c r="F18" i="62"/>
  <c r="E6" i="62"/>
  <c r="G6" i="62"/>
  <c r="E5" i="62"/>
  <c r="G5" i="62" s="1"/>
  <c r="E4" i="62"/>
  <c r="G4" i="62" s="1"/>
  <c r="G89" i="49"/>
  <c r="G88" i="49"/>
  <c r="G87" i="49"/>
  <c r="G86" i="49"/>
  <c r="G85" i="49"/>
  <c r="G84" i="49"/>
  <c r="G83" i="49"/>
  <c r="G82" i="49"/>
  <c r="G81" i="49"/>
  <c r="G80" i="49"/>
  <c r="G79" i="49"/>
  <c r="G78" i="49"/>
  <c r="G77" i="49"/>
  <c r="G76" i="49"/>
  <c r="G75" i="49"/>
  <c r="G74" i="49"/>
  <c r="G73" i="49"/>
  <c r="G72" i="49"/>
  <c r="G71" i="49"/>
  <c r="G70" i="49"/>
  <c r="G69" i="49"/>
  <c r="G68" i="49"/>
  <c r="G67" i="49"/>
  <c r="G66" i="49"/>
  <c r="G65" i="49"/>
  <c r="G64" i="49"/>
  <c r="G63" i="49"/>
  <c r="G62" i="49"/>
  <c r="G60" i="49"/>
  <c r="G59" i="49"/>
  <c r="G58" i="49"/>
  <c r="G57" i="49"/>
  <c r="G56" i="49"/>
  <c r="G55" i="49"/>
  <c r="G54" i="49"/>
  <c r="G53" i="49"/>
  <c r="G52" i="49"/>
  <c r="G51" i="49"/>
  <c r="G49" i="49"/>
  <c r="G48" i="49"/>
  <c r="G47" i="49"/>
  <c r="G46" i="49"/>
  <c r="G45" i="49"/>
  <c r="G44" i="49"/>
  <c r="G43" i="49"/>
  <c r="G42" i="49"/>
  <c r="G40" i="49"/>
  <c r="G39" i="49"/>
  <c r="G38" i="49"/>
  <c r="G37" i="49"/>
  <c r="G36" i="49"/>
  <c r="G35" i="49"/>
  <c r="G34" i="49"/>
  <c r="G33" i="49"/>
  <c r="G32" i="49"/>
  <c r="G31" i="49"/>
  <c r="G29" i="49"/>
  <c r="G28" i="49"/>
  <c r="G27" i="49"/>
  <c r="G26" i="49"/>
  <c r="G24" i="49"/>
  <c r="G23" i="49"/>
  <c r="G22" i="49"/>
  <c r="G21" i="49"/>
  <c r="G20" i="49"/>
  <c r="G19" i="49"/>
  <c r="G18" i="49"/>
  <c r="G17" i="49"/>
  <c r="A17" i="49"/>
  <c r="G16" i="49"/>
  <c r="G15" i="49"/>
  <c r="G14" i="49"/>
  <c r="G13" i="49"/>
  <c r="G12" i="49"/>
  <c r="G11" i="49"/>
  <c r="G10" i="49"/>
  <c r="G9" i="49"/>
  <c r="G8" i="49"/>
  <c r="G7" i="49"/>
  <c r="G6" i="49"/>
  <c r="G5" i="49"/>
  <c r="G4" i="49"/>
  <c r="I3" i="49"/>
  <c r="G33" i="34"/>
  <c r="E32" i="34"/>
  <c r="G32" i="34"/>
  <c r="G31" i="34"/>
  <c r="G30" i="34"/>
  <c r="G29" i="34"/>
  <c r="G28" i="34"/>
  <c r="G27" i="34"/>
  <c r="G26" i="34"/>
  <c r="G25" i="34"/>
  <c r="G24" i="34"/>
  <c r="G22" i="34"/>
  <c r="G21" i="34"/>
  <c r="G20" i="34"/>
  <c r="G19" i="34"/>
  <c r="G17" i="34"/>
  <c r="G16" i="34"/>
  <c r="G15" i="34"/>
  <c r="G13" i="34"/>
  <c r="G12" i="34"/>
  <c r="G11" i="34"/>
  <c r="G10" i="34"/>
  <c r="G9" i="34"/>
  <c r="G8" i="34"/>
  <c r="G7" i="34"/>
  <c r="G6" i="34"/>
  <c r="G5" i="34"/>
  <c r="G4" i="34"/>
  <c r="I3" i="34"/>
  <c r="E13" i="35"/>
  <c r="C13" i="35"/>
  <c r="E12" i="35"/>
  <c r="C12" i="35"/>
  <c r="E11" i="35"/>
  <c r="C11" i="35"/>
  <c r="E10" i="35"/>
  <c r="C10" i="35"/>
  <c r="E9" i="35"/>
  <c r="C9" i="35"/>
  <c r="E7" i="35"/>
  <c r="C7" i="35"/>
  <c r="E6" i="35"/>
  <c r="C6" i="35"/>
  <c r="M5" i="35"/>
  <c r="E5" i="35"/>
  <c r="C5" i="35"/>
  <c r="E4" i="35"/>
  <c r="C4" i="35"/>
  <c r="G3" i="35"/>
  <c r="AK100" i="46"/>
  <c r="AL100" i="46"/>
  <c r="AE100" i="46"/>
  <c r="AH100" i="46" s="1"/>
  <c r="AD100" i="46"/>
  <c r="Q100" i="46"/>
  <c r="V100" i="46" s="1"/>
  <c r="I100" i="46"/>
  <c r="AB100" i="46" s="1"/>
  <c r="AK99" i="46"/>
  <c r="AL99" i="46" s="1"/>
  <c r="AE99" i="46"/>
  <c r="AD99" i="46"/>
  <c r="Q99" i="46"/>
  <c r="I99" i="46"/>
  <c r="AB99" i="46" s="1"/>
  <c r="AK98" i="46"/>
  <c r="AL98" i="46" s="1"/>
  <c r="AG98" i="46"/>
  <c r="AE98" i="46"/>
  <c r="Q98" i="46"/>
  <c r="I98" i="46"/>
  <c r="AK97" i="46"/>
  <c r="AL97" i="46" s="1"/>
  <c r="AG97" i="46"/>
  <c r="AE97" i="46"/>
  <c r="Q97" i="46"/>
  <c r="R97" i="46" s="1"/>
  <c r="I97" i="46"/>
  <c r="AF97" i="46" s="1"/>
  <c r="AK96" i="46"/>
  <c r="AL96" i="46" s="1"/>
  <c r="AG96" i="46"/>
  <c r="AE96" i="46"/>
  <c r="Q96" i="46"/>
  <c r="I96" i="46"/>
  <c r="AK95" i="46"/>
  <c r="AL95" i="46" s="1"/>
  <c r="AG95" i="46"/>
  <c r="AE95" i="46"/>
  <c r="Q95" i="46"/>
  <c r="R95" i="46" s="1"/>
  <c r="I95" i="46"/>
  <c r="H95" i="46"/>
  <c r="AK94" i="46"/>
  <c r="AL94" i="46"/>
  <c r="AG94" i="46"/>
  <c r="AE94" i="46"/>
  <c r="Q94" i="46"/>
  <c r="R94" i="46" s="1"/>
  <c r="I94" i="46"/>
  <c r="AK93" i="46"/>
  <c r="AL93" i="46" s="1"/>
  <c r="AG93" i="46"/>
  <c r="AE93" i="46"/>
  <c r="Q93" i="46"/>
  <c r="R93" i="46"/>
  <c r="I93" i="46"/>
  <c r="AK92" i="46"/>
  <c r="AL92" i="46" s="1"/>
  <c r="AG92" i="46"/>
  <c r="AE92" i="46"/>
  <c r="Q92" i="46"/>
  <c r="R92" i="46"/>
  <c r="I92" i="46"/>
  <c r="H92" i="46"/>
  <c r="AK91" i="46"/>
  <c r="AL91" i="46"/>
  <c r="AG91" i="46"/>
  <c r="AE91" i="46"/>
  <c r="Q91" i="46"/>
  <c r="S91" i="46" s="1"/>
  <c r="I91" i="46"/>
  <c r="AK90" i="46"/>
  <c r="AL90" i="46" s="1"/>
  <c r="AE90" i="46"/>
  <c r="AD90" i="46"/>
  <c r="Q90" i="46"/>
  <c r="I90" i="46"/>
  <c r="AB90" i="46"/>
  <c r="AK89" i="46"/>
  <c r="AL89" i="46"/>
  <c r="AE89" i="46"/>
  <c r="AD89" i="46"/>
  <c r="Q89" i="46"/>
  <c r="I89" i="46"/>
  <c r="AB89" i="46"/>
  <c r="AK88" i="46"/>
  <c r="AL88" i="46" s="1"/>
  <c r="AG88" i="46"/>
  <c r="AE88" i="46"/>
  <c r="Q88" i="46"/>
  <c r="I88" i="46"/>
  <c r="AK87" i="46"/>
  <c r="AL87" i="46" s="1"/>
  <c r="AG87" i="46"/>
  <c r="AE87" i="46"/>
  <c r="Q87" i="46"/>
  <c r="I87" i="46"/>
  <c r="AK86" i="46"/>
  <c r="AL86" i="46" s="1"/>
  <c r="AG86" i="46"/>
  <c r="AE86" i="46"/>
  <c r="Q86" i="46"/>
  <c r="I86" i="46"/>
  <c r="AK85" i="46"/>
  <c r="AL85" i="46" s="1"/>
  <c r="AG85" i="46"/>
  <c r="AE85" i="46"/>
  <c r="Q85" i="46"/>
  <c r="I85" i="46"/>
  <c r="H85" i="46"/>
  <c r="AK84" i="46"/>
  <c r="AL84" i="46" s="1"/>
  <c r="AG84" i="46"/>
  <c r="AE84" i="46"/>
  <c r="Q84" i="46"/>
  <c r="I84" i="46"/>
  <c r="H84" i="46"/>
  <c r="AK83" i="46"/>
  <c r="AL83" i="46" s="1"/>
  <c r="AG83" i="46"/>
  <c r="AE83" i="46"/>
  <c r="Q83" i="46"/>
  <c r="I83" i="46"/>
  <c r="H83" i="46"/>
  <c r="AK82" i="46"/>
  <c r="AL82" i="46" s="1"/>
  <c r="AG82" i="46"/>
  <c r="AE82" i="46"/>
  <c r="Q82" i="46"/>
  <c r="R82" i="46" s="1"/>
  <c r="I82" i="46"/>
  <c r="H82" i="46"/>
  <c r="AK80" i="46"/>
  <c r="AL80" i="46" s="1"/>
  <c r="AG80" i="46"/>
  <c r="AE80" i="46"/>
  <c r="AH80" i="46"/>
  <c r="Q80" i="46"/>
  <c r="I80" i="46"/>
  <c r="AK79" i="46"/>
  <c r="AL79" i="46" s="1"/>
  <c r="AG79" i="46"/>
  <c r="AE79" i="46"/>
  <c r="Q79" i="46"/>
  <c r="I79" i="46"/>
  <c r="AK78" i="46"/>
  <c r="AL78" i="46"/>
  <c r="AH78" i="46"/>
  <c r="AG78" i="46"/>
  <c r="AF78" i="46"/>
  <c r="AE78" i="46"/>
  <c r="AB78" i="46"/>
  <c r="Q78" i="46"/>
  <c r="I78" i="46"/>
  <c r="AK77" i="46"/>
  <c r="AL77" i="46"/>
  <c r="AG77" i="46"/>
  <c r="AE77" i="46"/>
  <c r="Q77" i="46"/>
  <c r="R77" i="46" s="1"/>
  <c r="I77" i="46"/>
  <c r="AK76" i="46"/>
  <c r="AL76" i="46" s="1"/>
  <c r="AH76" i="46"/>
  <c r="AG76" i="46"/>
  <c r="AF76" i="46"/>
  <c r="AE76" i="46"/>
  <c r="AD76" i="46"/>
  <c r="AB76" i="46"/>
  <c r="Q76" i="46"/>
  <c r="R76" i="46"/>
  <c r="I76" i="46"/>
  <c r="AK75" i="46"/>
  <c r="AL75" i="46" s="1"/>
  <c r="AG75" i="46"/>
  <c r="AE75" i="46"/>
  <c r="AD75" i="46"/>
  <c r="Q75" i="46"/>
  <c r="I75" i="46"/>
  <c r="AB75" i="46"/>
  <c r="AK74" i="46"/>
  <c r="AL74" i="46" s="1"/>
  <c r="AH74" i="46"/>
  <c r="AG74" i="46"/>
  <c r="AF74" i="46"/>
  <c r="AE74" i="46"/>
  <c r="AD74" i="46"/>
  <c r="AB74" i="46"/>
  <c r="Q74" i="46"/>
  <c r="S74" i="46" s="1"/>
  <c r="I74" i="46"/>
  <c r="AK73" i="46"/>
  <c r="AL73" i="46" s="1"/>
  <c r="AH73" i="46"/>
  <c r="AG73" i="46"/>
  <c r="AF73" i="46"/>
  <c r="AE73" i="46"/>
  <c r="AD73" i="46"/>
  <c r="AB73" i="46"/>
  <c r="Q73" i="46"/>
  <c r="R73" i="46" s="1"/>
  <c r="I73" i="46"/>
  <c r="AK72" i="46"/>
  <c r="AG72" i="46"/>
  <c r="AE72" i="46"/>
  <c r="AD72" i="46"/>
  <c r="Q72" i="46"/>
  <c r="R72" i="46" s="1"/>
  <c r="I72" i="46"/>
  <c r="AB72" i="46" s="1"/>
  <c r="AK71" i="46"/>
  <c r="AL71" i="46"/>
  <c r="AH71" i="46"/>
  <c r="AG71" i="46"/>
  <c r="AF71" i="46"/>
  <c r="AE71" i="46"/>
  <c r="AD71" i="46"/>
  <c r="AB71" i="46"/>
  <c r="Q71" i="46"/>
  <c r="S71" i="46" s="1"/>
  <c r="I71" i="46"/>
  <c r="AK70" i="46"/>
  <c r="AL70" i="46" s="1"/>
  <c r="AH70" i="46"/>
  <c r="AG70" i="46"/>
  <c r="AF70" i="46"/>
  <c r="AE70" i="46"/>
  <c r="AD70" i="46"/>
  <c r="AB70" i="46"/>
  <c r="Q70" i="46"/>
  <c r="I70" i="46"/>
  <c r="AK69" i="46"/>
  <c r="AL69" i="46" s="1"/>
  <c r="AG69" i="46"/>
  <c r="AE69" i="46"/>
  <c r="Q69" i="46"/>
  <c r="R69" i="46" s="1"/>
  <c r="I69" i="46"/>
  <c r="AK68" i="46"/>
  <c r="AL68" i="46" s="1"/>
  <c r="AG68" i="46"/>
  <c r="AE68" i="46"/>
  <c r="Q68" i="46"/>
  <c r="R68" i="46" s="1"/>
  <c r="I68" i="46"/>
  <c r="AK66" i="46"/>
  <c r="AL66" i="46" s="1"/>
  <c r="AE66" i="46"/>
  <c r="AH66" i="46" s="1"/>
  <c r="AD66" i="46"/>
  <c r="Q66" i="46"/>
  <c r="R66" i="46" s="1"/>
  <c r="I66" i="46"/>
  <c r="AB66" i="46" s="1"/>
  <c r="AK65" i="46"/>
  <c r="AL65" i="46" s="1"/>
  <c r="AH65" i="46"/>
  <c r="AG65" i="46"/>
  <c r="AF65" i="46"/>
  <c r="AE65" i="46"/>
  <c r="AB65" i="46"/>
  <c r="Q65" i="46"/>
  <c r="I65" i="46"/>
  <c r="AK64" i="46"/>
  <c r="AL64" i="46" s="1"/>
  <c r="AG64" i="46"/>
  <c r="AE64" i="46"/>
  <c r="AD64" i="46"/>
  <c r="Q64" i="46"/>
  <c r="I64" i="46"/>
  <c r="AB64" i="46"/>
  <c r="AK62" i="46"/>
  <c r="AL62" i="46" s="1"/>
  <c r="AG62" i="46"/>
  <c r="AE62" i="46"/>
  <c r="Q62" i="46"/>
  <c r="I62" i="46"/>
  <c r="AK61" i="46"/>
  <c r="AL61" i="46"/>
  <c r="AG61" i="46"/>
  <c r="AE61" i="46"/>
  <c r="Q61" i="46"/>
  <c r="I61" i="46"/>
  <c r="AK60" i="46"/>
  <c r="AL60" i="46"/>
  <c r="AG60" i="46"/>
  <c r="AE60" i="46"/>
  <c r="Q60" i="46"/>
  <c r="R60" i="46" s="1"/>
  <c r="I60" i="46"/>
  <c r="AK59" i="46"/>
  <c r="AL59" i="46" s="1"/>
  <c r="AH59" i="46"/>
  <c r="AG59" i="46"/>
  <c r="AF59" i="46"/>
  <c r="AE59" i="46"/>
  <c r="AB59" i="46"/>
  <c r="Q59" i="46"/>
  <c r="I59" i="46"/>
  <c r="AK58" i="46"/>
  <c r="AL58" i="46" s="1"/>
  <c r="AE58" i="46"/>
  <c r="AD58" i="46"/>
  <c r="Q58" i="46"/>
  <c r="I58" i="46"/>
  <c r="AB58" i="46"/>
  <c r="AK56" i="46"/>
  <c r="AL56" i="46" s="1"/>
  <c r="AE56" i="46"/>
  <c r="AD56" i="46"/>
  <c r="Q56" i="46"/>
  <c r="I56" i="46"/>
  <c r="AB56" i="46"/>
  <c r="AK55" i="46"/>
  <c r="AL55" i="46" s="1"/>
  <c r="AG55" i="46"/>
  <c r="AE55" i="46"/>
  <c r="AC55" i="46"/>
  <c r="Q55" i="46"/>
  <c r="I55" i="46"/>
  <c r="AK54" i="46"/>
  <c r="AL54" i="46" s="1"/>
  <c r="AH54" i="46"/>
  <c r="AG54" i="46"/>
  <c r="AF54" i="46"/>
  <c r="AE54" i="46"/>
  <c r="AB54" i="46"/>
  <c r="Q54" i="46"/>
  <c r="I54" i="46"/>
  <c r="AK53" i="46"/>
  <c r="AL53" i="46" s="1"/>
  <c r="AH53" i="46"/>
  <c r="AF53" i="46"/>
  <c r="AE53" i="46"/>
  <c r="AD53" i="46"/>
  <c r="AB53" i="46"/>
  <c r="Q53" i="46"/>
  <c r="I53" i="46"/>
  <c r="AK52" i="46"/>
  <c r="AL52" i="46" s="1"/>
  <c r="AE52" i="46"/>
  <c r="AH52" i="46" s="1"/>
  <c r="AD52" i="46"/>
  <c r="Q52" i="46"/>
  <c r="R52" i="46" s="1"/>
  <c r="I52" i="46"/>
  <c r="AK51" i="46"/>
  <c r="AL51" i="46" s="1"/>
  <c r="AE51" i="46"/>
  <c r="AH51" i="46" s="1"/>
  <c r="AD51" i="46"/>
  <c r="Q51" i="46"/>
  <c r="R51" i="46" s="1"/>
  <c r="I51" i="46"/>
  <c r="AB51" i="46" s="1"/>
  <c r="AK49" i="46"/>
  <c r="AL49" i="46" s="1"/>
  <c r="AG49" i="46"/>
  <c r="AE49" i="46"/>
  <c r="Q49" i="46"/>
  <c r="R49" i="46" s="1"/>
  <c r="I49" i="46"/>
  <c r="AK48" i="46"/>
  <c r="AL48" i="46" s="1"/>
  <c r="AG48" i="46"/>
  <c r="AE48" i="46"/>
  <c r="Q48" i="46"/>
  <c r="R48" i="46"/>
  <c r="I48" i="46"/>
  <c r="AK47" i="46"/>
  <c r="AL47" i="46" s="1"/>
  <c r="AG47" i="46"/>
  <c r="AE47" i="46"/>
  <c r="Q47" i="46"/>
  <c r="R47" i="46" s="1"/>
  <c r="I47" i="46"/>
  <c r="AK46" i="46"/>
  <c r="AL46" i="46" s="1"/>
  <c r="AH46" i="46"/>
  <c r="AG46" i="46"/>
  <c r="AF46" i="46"/>
  <c r="AE46" i="46"/>
  <c r="AB46" i="46"/>
  <c r="Q46" i="46"/>
  <c r="R46" i="46"/>
  <c r="I46" i="46"/>
  <c r="AK45" i="46"/>
  <c r="AL45" i="46" s="1"/>
  <c r="AG45" i="46"/>
  <c r="AE45" i="46"/>
  <c r="AC45" i="46"/>
  <c r="Q45" i="46"/>
  <c r="I45" i="46"/>
  <c r="AK44" i="46"/>
  <c r="AL44" i="46" s="1"/>
  <c r="AH44" i="46"/>
  <c r="AG44" i="46"/>
  <c r="AF44" i="46"/>
  <c r="AE44" i="46"/>
  <c r="AC44" i="46"/>
  <c r="AB44" i="46"/>
  <c r="Q44" i="46"/>
  <c r="I44" i="46"/>
  <c r="AK43" i="46"/>
  <c r="AL43" i="46" s="1"/>
  <c r="AG43" i="46"/>
  <c r="AE43" i="46"/>
  <c r="AC43" i="46"/>
  <c r="Q43" i="46"/>
  <c r="I43" i="46"/>
  <c r="AK42" i="46"/>
  <c r="AG42" i="46"/>
  <c r="AE42" i="46"/>
  <c r="AC42" i="46"/>
  <c r="Q42" i="46"/>
  <c r="R42" i="46" s="1"/>
  <c r="I42" i="46"/>
  <c r="AK41" i="46"/>
  <c r="AL41" i="46"/>
  <c r="AG41" i="46"/>
  <c r="AE41" i="46"/>
  <c r="AC41" i="46"/>
  <c r="Q41" i="46"/>
  <c r="V41" i="46" s="1"/>
  <c r="W41" i="46" s="1"/>
  <c r="R41" i="46"/>
  <c r="I41" i="46"/>
  <c r="AK40" i="46"/>
  <c r="AL40" i="46" s="1"/>
  <c r="AG40" i="46"/>
  <c r="AE40" i="46"/>
  <c r="AC40" i="46"/>
  <c r="Q40" i="46"/>
  <c r="R40" i="46" s="1"/>
  <c r="I40" i="46"/>
  <c r="AK39" i="46"/>
  <c r="AL39" i="46"/>
  <c r="AG39" i="46"/>
  <c r="AE39" i="46"/>
  <c r="AC39" i="46"/>
  <c r="Q39" i="46"/>
  <c r="R39" i="46" s="1"/>
  <c r="I39" i="46"/>
  <c r="AK38" i="46"/>
  <c r="AL38" i="46" s="1"/>
  <c r="AG38" i="46"/>
  <c r="AE38" i="46"/>
  <c r="AC38" i="46"/>
  <c r="Q38" i="46"/>
  <c r="R38" i="46"/>
  <c r="I38" i="46"/>
  <c r="AK37" i="46"/>
  <c r="AL37" i="46" s="1"/>
  <c r="AG37" i="46"/>
  <c r="AE37" i="46"/>
  <c r="AH37" i="46" s="1"/>
  <c r="AC37" i="46"/>
  <c r="Q37" i="46"/>
  <c r="R37" i="46" s="1"/>
  <c r="I37" i="46"/>
  <c r="AK36" i="46"/>
  <c r="AL36" i="46"/>
  <c r="AH36" i="46"/>
  <c r="AG36" i="46"/>
  <c r="AF36" i="46"/>
  <c r="AE36" i="46"/>
  <c r="AC36" i="46"/>
  <c r="AB36" i="46"/>
  <c r="Q36" i="46"/>
  <c r="I36" i="46"/>
  <c r="AK32" i="46"/>
  <c r="AL32" i="46" s="1"/>
  <c r="AE32" i="46"/>
  <c r="AH32" i="46" s="1"/>
  <c r="Q32" i="46"/>
  <c r="I32" i="46"/>
  <c r="AK30" i="46"/>
  <c r="AL30" i="46" s="1"/>
  <c r="AH30" i="46"/>
  <c r="AG30" i="46"/>
  <c r="AF30" i="46"/>
  <c r="AE30" i="46"/>
  <c r="AB30" i="46"/>
  <c r="Q30" i="46"/>
  <c r="S30" i="46" s="1"/>
  <c r="I30" i="46"/>
  <c r="AK29" i="46"/>
  <c r="AL29" i="46" s="1"/>
  <c r="AG29" i="46"/>
  <c r="AE29" i="46"/>
  <c r="Q29" i="46"/>
  <c r="R29" i="46" s="1"/>
  <c r="I29" i="46"/>
  <c r="AK28" i="46"/>
  <c r="AL28" i="46" s="1"/>
  <c r="AG28" i="46"/>
  <c r="AE28" i="46"/>
  <c r="Q28" i="46"/>
  <c r="R28" i="46" s="1"/>
  <c r="I28" i="46"/>
  <c r="AK27" i="46"/>
  <c r="AL27" i="46" s="1"/>
  <c r="AH27" i="46"/>
  <c r="AG27" i="46"/>
  <c r="AF27" i="46"/>
  <c r="AE27" i="46"/>
  <c r="AB27" i="46"/>
  <c r="Q27" i="46"/>
  <c r="R27" i="46"/>
  <c r="I27" i="46"/>
  <c r="AK25" i="46"/>
  <c r="AL25" i="46" s="1"/>
  <c r="AH25" i="46"/>
  <c r="AG25" i="46"/>
  <c r="AF25" i="46"/>
  <c r="AE25" i="46"/>
  <c r="AD25" i="46"/>
  <c r="AB25" i="46"/>
  <c r="Q25" i="46"/>
  <c r="I25" i="46"/>
  <c r="AK24" i="46"/>
  <c r="AL24" i="46" s="1"/>
  <c r="AH24" i="46"/>
  <c r="AG24" i="46"/>
  <c r="AF24" i="46"/>
  <c r="AE24" i="46"/>
  <c r="AD24" i="46"/>
  <c r="AB24" i="46"/>
  <c r="Q24" i="46"/>
  <c r="I24" i="46"/>
  <c r="AK23" i="46"/>
  <c r="AL23" i="46"/>
  <c r="AG23" i="46"/>
  <c r="AE23" i="46"/>
  <c r="AH23" i="46"/>
  <c r="AC23" i="46"/>
  <c r="Q23" i="46"/>
  <c r="I23" i="46"/>
  <c r="AK22" i="46"/>
  <c r="AL22" i="46"/>
  <c r="AG22" i="46"/>
  <c r="AE22" i="46"/>
  <c r="AC22" i="46"/>
  <c r="Q22" i="46"/>
  <c r="I22" i="46"/>
  <c r="AK21" i="46"/>
  <c r="AL21" i="46" s="1"/>
  <c r="AG21" i="46"/>
  <c r="AE21" i="46"/>
  <c r="AC21" i="46"/>
  <c r="Q21" i="46"/>
  <c r="R21" i="46"/>
  <c r="I21" i="46"/>
  <c r="AK20" i="46"/>
  <c r="AL20" i="46" s="1"/>
  <c r="AG20" i="46"/>
  <c r="AE20" i="46"/>
  <c r="AC20" i="46"/>
  <c r="Q20" i="46"/>
  <c r="I20" i="46"/>
  <c r="AK19" i="46"/>
  <c r="AL19" i="46" s="1"/>
  <c r="AG19" i="46"/>
  <c r="AE19" i="46"/>
  <c r="AC19" i="46"/>
  <c r="Q19" i="46"/>
  <c r="I19" i="46"/>
  <c r="AK18" i="46"/>
  <c r="AL18" i="46"/>
  <c r="AH18" i="46"/>
  <c r="AG18" i="46"/>
  <c r="AF18" i="46"/>
  <c r="AE18" i="46"/>
  <c r="AC18" i="46"/>
  <c r="AB18" i="46"/>
  <c r="Q18" i="46"/>
  <c r="S18" i="46" s="1"/>
  <c r="I18" i="46"/>
  <c r="AK17" i="46"/>
  <c r="AL17" i="46" s="1"/>
  <c r="AG17" i="46"/>
  <c r="AE17" i="46"/>
  <c r="AH17" i="46" s="1"/>
  <c r="AC17" i="46"/>
  <c r="Q17" i="46"/>
  <c r="R17" i="46" s="1"/>
  <c r="I17" i="46"/>
  <c r="AK16" i="46"/>
  <c r="AL16" i="46" s="1"/>
  <c r="AG16" i="46"/>
  <c r="AE16" i="46"/>
  <c r="AC16" i="46"/>
  <c r="Q16" i="46"/>
  <c r="V16" i="46" s="1"/>
  <c r="R16" i="46"/>
  <c r="I16" i="46"/>
  <c r="AF16" i="46" s="1"/>
  <c r="AK15" i="46"/>
  <c r="AL15" i="46"/>
  <c r="AG15" i="46"/>
  <c r="AE15" i="46"/>
  <c r="AC15" i="46"/>
  <c r="Q15" i="46"/>
  <c r="I15" i="46"/>
  <c r="AK14" i="46"/>
  <c r="AL14" i="46" s="1"/>
  <c r="AG14" i="46"/>
  <c r="AE14" i="46"/>
  <c r="AC14" i="46"/>
  <c r="Q14" i="46"/>
  <c r="S14" i="46" s="1"/>
  <c r="I14" i="46"/>
  <c r="AK13" i="46"/>
  <c r="AL13" i="46" s="1"/>
  <c r="AH13" i="46"/>
  <c r="AG13" i="46"/>
  <c r="AF13" i="46"/>
  <c r="AE13" i="46"/>
  <c r="AB13" i="46"/>
  <c r="Q13" i="46"/>
  <c r="S13" i="46" s="1"/>
  <c r="I13" i="46"/>
  <c r="AK12" i="46"/>
  <c r="AL12" i="46" s="1"/>
  <c r="AG12" i="46"/>
  <c r="AE12" i="46"/>
  <c r="Q12" i="46"/>
  <c r="I12" i="46"/>
  <c r="AK11" i="46"/>
  <c r="AL11" i="46"/>
  <c r="AG11" i="46"/>
  <c r="AE11" i="46"/>
  <c r="Q11" i="46"/>
  <c r="V11" i="46" s="1"/>
  <c r="W11" i="46" s="1"/>
  <c r="I11" i="46"/>
  <c r="AK10" i="46"/>
  <c r="AL10" i="46" s="1"/>
  <c r="AG10" i="46"/>
  <c r="AE10" i="46"/>
  <c r="Q10" i="46"/>
  <c r="S10" i="46" s="1"/>
  <c r="I10" i="46"/>
  <c r="AK9" i="46"/>
  <c r="AL9" i="46" s="1"/>
  <c r="AG9" i="46"/>
  <c r="AE9" i="46"/>
  <c r="Q9" i="46"/>
  <c r="I9" i="46"/>
  <c r="AF9" i="46" s="1"/>
  <c r="AK8" i="46"/>
  <c r="AL8" i="46" s="1"/>
  <c r="AG8" i="46"/>
  <c r="AE8" i="46"/>
  <c r="Q8" i="46"/>
  <c r="I8" i="46"/>
  <c r="AK7" i="46"/>
  <c r="AL7" i="46" s="1"/>
  <c r="AG7" i="46"/>
  <c r="AE7" i="46"/>
  <c r="I7" i="46"/>
  <c r="S6" i="46"/>
  <c r="AA62" i="45"/>
  <c r="AA61" i="45"/>
  <c r="AC61" i="45" s="1"/>
  <c r="AA60" i="45"/>
  <c r="AA58" i="45"/>
  <c r="AC58" i="45" s="1"/>
  <c r="AA56" i="45"/>
  <c r="AA55" i="45"/>
  <c r="AC55" i="45" s="1"/>
  <c r="AF54" i="45"/>
  <c r="AA47" i="45"/>
  <c r="AA46" i="45"/>
  <c r="AA45" i="45"/>
  <c r="AC45" i="45" s="1"/>
  <c r="AF44" i="45"/>
  <c r="AA43" i="45"/>
  <c r="AA41" i="45"/>
  <c r="AC41" i="45" s="1"/>
  <c r="AE41" i="45" s="1"/>
  <c r="AM41" i="45" s="1"/>
  <c r="AO41" i="45" s="1"/>
  <c r="AP41" i="45" s="1"/>
  <c r="AA38" i="45"/>
  <c r="AC38" i="45" s="1"/>
  <c r="AF36" i="45"/>
  <c r="AA34" i="45"/>
  <c r="AA33" i="45"/>
  <c r="AC33" i="45" s="1"/>
  <c r="AE33" i="45" s="1"/>
  <c r="AA32" i="45"/>
  <c r="AA31" i="45"/>
  <c r="AC31" i="45" s="1"/>
  <c r="AA30" i="45"/>
  <c r="AC30" i="45" s="1"/>
  <c r="AF26" i="45"/>
  <c r="AA24" i="45"/>
  <c r="AA22" i="45"/>
  <c r="AA21" i="45"/>
  <c r="AA20" i="45"/>
  <c r="AA19" i="45"/>
  <c r="AA18" i="45"/>
  <c r="AA17" i="45"/>
  <c r="AA16" i="45"/>
  <c r="AA14" i="45"/>
  <c r="AA13" i="45"/>
  <c r="AA10" i="45"/>
  <c r="AA8" i="45"/>
  <c r="S6" i="45"/>
  <c r="AG5" i="45"/>
  <c r="AG7" i="45" s="1"/>
  <c r="H5" i="45"/>
  <c r="H7" i="45" s="1"/>
  <c r="M7" i="45" s="1"/>
  <c r="X7" i="45" s="1"/>
  <c r="G5" i="45"/>
  <c r="G9" i="45" s="1"/>
  <c r="F9" i="45" s="1"/>
  <c r="F56" i="47"/>
  <c r="E56" i="47"/>
  <c r="F55" i="47"/>
  <c r="E55" i="47"/>
  <c r="F54" i="47"/>
  <c r="E54" i="47"/>
  <c r="F53" i="47"/>
  <c r="E53" i="47"/>
  <c r="F52" i="47"/>
  <c r="E52" i="47"/>
  <c r="F51" i="47"/>
  <c r="E51" i="47"/>
  <c r="F50" i="47"/>
  <c r="E50" i="47"/>
  <c r="F49" i="47"/>
  <c r="E49" i="47"/>
  <c r="F48" i="47"/>
  <c r="E48" i="47"/>
  <c r="F47" i="47"/>
  <c r="E47" i="47"/>
  <c r="F46" i="47"/>
  <c r="E46" i="47"/>
  <c r="F45" i="47"/>
  <c r="E45" i="47"/>
  <c r="F44" i="47"/>
  <c r="E44" i="47"/>
  <c r="F43" i="47"/>
  <c r="E43" i="47"/>
  <c r="F42" i="47"/>
  <c r="E42" i="47"/>
  <c r="F41" i="47"/>
  <c r="E41" i="47"/>
  <c r="F40" i="47"/>
  <c r="E40" i="47"/>
  <c r="F39" i="47"/>
  <c r="E39" i="47"/>
  <c r="F38" i="47"/>
  <c r="E38" i="47"/>
  <c r="J24" i="47"/>
  <c r="AC98" i="46" s="1"/>
  <c r="C16" i="47"/>
  <c r="C15" i="47"/>
  <c r="C14" i="47"/>
  <c r="C13" i="47"/>
  <c r="C12" i="47"/>
  <c r="C11" i="47"/>
  <c r="C10" i="47"/>
  <c r="C9" i="47"/>
  <c r="AA12" i="46" s="1"/>
  <c r="U33" i="58"/>
  <c r="T33" i="58"/>
  <c r="S33" i="58"/>
  <c r="R33" i="58"/>
  <c r="Q33" i="58"/>
  <c r="P33" i="58"/>
  <c r="O33" i="58"/>
  <c r="N33" i="58"/>
  <c r="M33" i="58"/>
  <c r="L33" i="58"/>
  <c r="U32" i="58"/>
  <c r="T32" i="58"/>
  <c r="S32" i="58"/>
  <c r="R32" i="58"/>
  <c r="Q32" i="58"/>
  <c r="P32" i="58"/>
  <c r="O32" i="58"/>
  <c r="N32" i="58"/>
  <c r="M32" i="58"/>
  <c r="L32" i="58"/>
  <c r="U31" i="58"/>
  <c r="T31" i="58"/>
  <c r="S31" i="58"/>
  <c r="R31" i="58"/>
  <c r="Q31" i="58"/>
  <c r="P31" i="58"/>
  <c r="O31" i="58"/>
  <c r="N31" i="58"/>
  <c r="M31" i="58"/>
  <c r="L31" i="58"/>
  <c r="F26" i="58"/>
  <c r="B26" i="58"/>
  <c r="A26" i="58"/>
  <c r="V26" i="58" s="1"/>
  <c r="I26" i="56" s="1"/>
  <c r="F24" i="58"/>
  <c r="B24" i="58"/>
  <c r="A24" i="58"/>
  <c r="V24" i="58" s="1"/>
  <c r="I24" i="56" s="1"/>
  <c r="K24" i="56" s="1"/>
  <c r="F22" i="58"/>
  <c r="B22" i="58"/>
  <c r="A22" i="58"/>
  <c r="V22" i="58"/>
  <c r="I22" i="56" s="1"/>
  <c r="F20" i="58"/>
  <c r="B20" i="58"/>
  <c r="A20" i="58"/>
  <c r="V20" i="58"/>
  <c r="I20" i="56" s="1"/>
  <c r="K20" i="56" s="1"/>
  <c r="F19" i="58"/>
  <c r="B19" i="58"/>
  <c r="A19" i="58"/>
  <c r="V19" i="58" s="1"/>
  <c r="I19" i="56" s="1"/>
  <c r="K19" i="56" s="1"/>
  <c r="F18" i="58"/>
  <c r="B18" i="58"/>
  <c r="A18" i="58"/>
  <c r="V18" i="58"/>
  <c r="I18" i="56" s="1"/>
  <c r="F17" i="58"/>
  <c r="B17" i="58"/>
  <c r="A17" i="58"/>
  <c r="V17" i="58" s="1"/>
  <c r="I17" i="56" s="1"/>
  <c r="F16" i="58"/>
  <c r="B16" i="58"/>
  <c r="A16" i="58"/>
  <c r="F14" i="58"/>
  <c r="B14" i="58"/>
  <c r="A14" i="58"/>
  <c r="V14" i="58"/>
  <c r="I14" i="56" s="1"/>
  <c r="K14" i="56" s="1"/>
  <c r="F13" i="58"/>
  <c r="B13" i="58"/>
  <c r="A13" i="58"/>
  <c r="V13" i="58"/>
  <c r="I13" i="56" s="1"/>
  <c r="F11" i="58"/>
  <c r="B11" i="58"/>
  <c r="A11" i="58"/>
  <c r="F10" i="58"/>
  <c r="B10" i="58"/>
  <c r="A10" i="58"/>
  <c r="F9" i="58"/>
  <c r="B9" i="58"/>
  <c r="A9" i="58"/>
  <c r="F8" i="58"/>
  <c r="B8" i="58"/>
  <c r="A8" i="58"/>
  <c r="F6" i="58"/>
  <c r="B6" i="58"/>
  <c r="A6" i="58"/>
  <c r="F5" i="58"/>
  <c r="B5" i="58"/>
  <c r="A5" i="58"/>
  <c r="I4" i="58"/>
  <c r="I24" i="58" s="1"/>
  <c r="J24" i="58" s="1"/>
  <c r="G4" i="58"/>
  <c r="U137" i="57"/>
  <c r="T137" i="57"/>
  <c r="S137" i="57"/>
  <c r="R137" i="57"/>
  <c r="Q137" i="57"/>
  <c r="P137" i="57"/>
  <c r="O137" i="57"/>
  <c r="N137" i="57"/>
  <c r="M137" i="57"/>
  <c r="L137" i="57"/>
  <c r="U136" i="57"/>
  <c r="T136" i="57"/>
  <c r="S136" i="57"/>
  <c r="R136" i="57"/>
  <c r="Q136" i="57"/>
  <c r="P136" i="57"/>
  <c r="O136" i="57"/>
  <c r="N136" i="57"/>
  <c r="M136" i="57"/>
  <c r="L136" i="57"/>
  <c r="U135" i="57"/>
  <c r="T135" i="57"/>
  <c r="S135" i="57"/>
  <c r="R135" i="57"/>
  <c r="Q135" i="57"/>
  <c r="P135" i="57"/>
  <c r="O135" i="57"/>
  <c r="N135" i="57"/>
  <c r="M135" i="57"/>
  <c r="L135" i="57"/>
  <c r="E129" i="57"/>
  <c r="F129" i="57"/>
  <c r="B129" i="57"/>
  <c r="A129" i="57"/>
  <c r="E126" i="57"/>
  <c r="F126" i="57" s="1"/>
  <c r="B126" i="57"/>
  <c r="A126" i="57"/>
  <c r="E125" i="57"/>
  <c r="F125" i="57"/>
  <c r="B125" i="57"/>
  <c r="A125" i="57"/>
  <c r="E124" i="57"/>
  <c r="F124" i="57" s="1"/>
  <c r="B124" i="57"/>
  <c r="A124" i="57"/>
  <c r="E118" i="57"/>
  <c r="F118" i="57" s="1"/>
  <c r="B118" i="57"/>
  <c r="A118" i="57"/>
  <c r="B116" i="57"/>
  <c r="A116" i="57"/>
  <c r="E104" i="57"/>
  <c r="F104" i="57"/>
  <c r="B104" i="57"/>
  <c r="A104" i="57"/>
  <c r="E103" i="57"/>
  <c r="F103" i="57"/>
  <c r="B103" i="57"/>
  <c r="A103" i="57"/>
  <c r="E102" i="57"/>
  <c r="F102" i="57" s="1"/>
  <c r="B102" i="57"/>
  <c r="A102" i="57"/>
  <c r="E101" i="57"/>
  <c r="F101" i="57"/>
  <c r="B101" i="57"/>
  <c r="A101" i="57"/>
  <c r="E100" i="57"/>
  <c r="F100" i="57" s="1"/>
  <c r="B100" i="57"/>
  <c r="A100" i="57"/>
  <c r="E99" i="57"/>
  <c r="F99" i="57" s="1"/>
  <c r="B99" i="57"/>
  <c r="A99" i="57"/>
  <c r="E98" i="57"/>
  <c r="F98" i="57" s="1"/>
  <c r="B98" i="57"/>
  <c r="A98" i="57"/>
  <c r="E97" i="57"/>
  <c r="F97" i="57"/>
  <c r="B97" i="57"/>
  <c r="A97" i="57"/>
  <c r="E96" i="57"/>
  <c r="F96" i="57" s="1"/>
  <c r="B96" i="57"/>
  <c r="A96" i="57"/>
  <c r="E95" i="57"/>
  <c r="F95" i="57" s="1"/>
  <c r="B95" i="57"/>
  <c r="A95" i="57"/>
  <c r="E94" i="57"/>
  <c r="F94" i="57" s="1"/>
  <c r="B94" i="57"/>
  <c r="A94" i="57"/>
  <c r="E93" i="57"/>
  <c r="F93" i="57" s="1"/>
  <c r="B93" i="57"/>
  <c r="A93" i="57"/>
  <c r="E92" i="57"/>
  <c r="F92" i="57" s="1"/>
  <c r="B92" i="57"/>
  <c r="A92" i="57"/>
  <c r="B90" i="57"/>
  <c r="E68" i="57"/>
  <c r="F68" i="57" s="1"/>
  <c r="B68" i="57"/>
  <c r="A68" i="57"/>
  <c r="E67" i="57"/>
  <c r="F67" i="57" s="1"/>
  <c r="B67" i="57"/>
  <c r="A67" i="57"/>
  <c r="E66" i="57"/>
  <c r="F66" i="57" s="1"/>
  <c r="B66" i="57"/>
  <c r="A66" i="57"/>
  <c r="E64" i="57"/>
  <c r="F64" i="57"/>
  <c r="B64" i="57"/>
  <c r="A64" i="57"/>
  <c r="E63" i="57"/>
  <c r="F63" i="57"/>
  <c r="B63" i="57"/>
  <c r="A63" i="57"/>
  <c r="E62" i="57"/>
  <c r="F62" i="57" s="1"/>
  <c r="B62" i="57"/>
  <c r="A62" i="57"/>
  <c r="E61" i="57"/>
  <c r="F61" i="57"/>
  <c r="B61" i="57"/>
  <c r="A61" i="57"/>
  <c r="E60" i="57"/>
  <c r="F60" i="57" s="1"/>
  <c r="B60" i="57"/>
  <c r="A60" i="57"/>
  <c r="E59" i="57"/>
  <c r="F59" i="57" s="1"/>
  <c r="B59" i="57"/>
  <c r="A59" i="57"/>
  <c r="E58" i="57"/>
  <c r="F58" i="57" s="1"/>
  <c r="B58" i="57"/>
  <c r="A58" i="57"/>
  <c r="E57" i="57"/>
  <c r="F57" i="57"/>
  <c r="B57" i="57"/>
  <c r="A57" i="57"/>
  <c r="E56" i="57"/>
  <c r="F56" i="57" s="1"/>
  <c r="B56" i="57"/>
  <c r="A56" i="57"/>
  <c r="V56" i="57" s="1"/>
  <c r="J56" i="43" s="1"/>
  <c r="E55" i="57"/>
  <c r="F55" i="57" s="1"/>
  <c r="B55" i="57"/>
  <c r="A55" i="57"/>
  <c r="E54" i="57"/>
  <c r="F54" i="57" s="1"/>
  <c r="B54" i="57"/>
  <c r="A54" i="57"/>
  <c r="E53" i="57"/>
  <c r="F53" i="57" s="1"/>
  <c r="B53" i="57"/>
  <c r="A53" i="57"/>
  <c r="E52" i="57"/>
  <c r="F52" i="57" s="1"/>
  <c r="B52" i="57"/>
  <c r="A52" i="57"/>
  <c r="E51" i="57"/>
  <c r="F51" i="57"/>
  <c r="B51" i="57"/>
  <c r="A51" i="57"/>
  <c r="E50" i="57"/>
  <c r="F50" i="57" s="1"/>
  <c r="B50" i="57"/>
  <c r="A50" i="57"/>
  <c r="E49" i="57"/>
  <c r="F49" i="57"/>
  <c r="B49" i="57"/>
  <c r="A49" i="57"/>
  <c r="E48" i="57"/>
  <c r="F48" i="57"/>
  <c r="B48" i="57"/>
  <c r="A48" i="57"/>
  <c r="E47" i="57"/>
  <c r="F47" i="57" s="1"/>
  <c r="B47" i="57"/>
  <c r="A47" i="57"/>
  <c r="E46" i="57"/>
  <c r="F46" i="57"/>
  <c r="B46" i="57"/>
  <c r="A46" i="57"/>
  <c r="E45" i="57"/>
  <c r="F45" i="57" s="1"/>
  <c r="B45" i="57"/>
  <c r="A45" i="57"/>
  <c r="E44" i="57"/>
  <c r="F44" i="57" s="1"/>
  <c r="B44" i="57"/>
  <c r="A44" i="57"/>
  <c r="E43" i="57"/>
  <c r="F43" i="57" s="1"/>
  <c r="B43" i="57"/>
  <c r="A43" i="57"/>
  <c r="E42" i="57"/>
  <c r="F42" i="57" s="1"/>
  <c r="B42" i="57"/>
  <c r="A42" i="57"/>
  <c r="E41" i="57"/>
  <c r="F41" i="57" s="1"/>
  <c r="B41" i="57"/>
  <c r="A41" i="57"/>
  <c r="E40" i="57"/>
  <c r="F40" i="57"/>
  <c r="B40" i="57"/>
  <c r="A40" i="57"/>
  <c r="E39" i="57"/>
  <c r="F39" i="57" s="1"/>
  <c r="B39" i="57"/>
  <c r="A39" i="57"/>
  <c r="E38" i="57"/>
  <c r="F38" i="57" s="1"/>
  <c r="B38" i="57"/>
  <c r="A38" i="57"/>
  <c r="E37" i="57"/>
  <c r="F37" i="57" s="1"/>
  <c r="B37" i="57"/>
  <c r="A37" i="57"/>
  <c r="E36" i="57"/>
  <c r="F36" i="57"/>
  <c r="B36" i="57"/>
  <c r="A36" i="57"/>
  <c r="E35" i="57"/>
  <c r="F35" i="57" s="1"/>
  <c r="B35" i="57"/>
  <c r="A35" i="57"/>
  <c r="E34" i="57"/>
  <c r="F34" i="57"/>
  <c r="B34" i="57"/>
  <c r="A34" i="57"/>
  <c r="E33" i="57"/>
  <c r="F33" i="57"/>
  <c r="B33" i="57"/>
  <c r="A33" i="57"/>
  <c r="E32" i="57"/>
  <c r="F32" i="57" s="1"/>
  <c r="B32" i="57"/>
  <c r="A32" i="57"/>
  <c r="E31" i="57"/>
  <c r="F31" i="57" s="1"/>
  <c r="B31" i="57"/>
  <c r="A31" i="57"/>
  <c r="E30" i="57"/>
  <c r="F30" i="57"/>
  <c r="B30" i="57"/>
  <c r="A30" i="57"/>
  <c r="E29" i="57"/>
  <c r="F29" i="57" s="1"/>
  <c r="B29" i="57"/>
  <c r="A29" i="57"/>
  <c r="E28" i="57"/>
  <c r="F28" i="57"/>
  <c r="B28" i="57"/>
  <c r="A28" i="57"/>
  <c r="E27" i="57"/>
  <c r="F27" i="57" s="1"/>
  <c r="B27" i="57"/>
  <c r="A27" i="57"/>
  <c r="E26" i="57"/>
  <c r="F26" i="57" s="1"/>
  <c r="B26" i="57"/>
  <c r="A26" i="57"/>
  <c r="E25" i="57"/>
  <c r="F25" i="57" s="1"/>
  <c r="B25" i="57"/>
  <c r="A25" i="57"/>
  <c r="E24" i="57"/>
  <c r="F24" i="57"/>
  <c r="B24" i="57"/>
  <c r="A24" i="57"/>
  <c r="E23" i="57"/>
  <c r="F23" i="57" s="1"/>
  <c r="B23" i="57"/>
  <c r="A23" i="57"/>
  <c r="E22" i="57"/>
  <c r="F22" i="57" s="1"/>
  <c r="B22" i="57"/>
  <c r="A22" i="57"/>
  <c r="E21" i="57"/>
  <c r="F21" i="57"/>
  <c r="B21" i="57"/>
  <c r="A21" i="57"/>
  <c r="E20" i="57"/>
  <c r="F20" i="57" s="1"/>
  <c r="B20" i="57"/>
  <c r="A20" i="57"/>
  <c r="E19" i="57"/>
  <c r="F19" i="57" s="1"/>
  <c r="B19" i="57"/>
  <c r="A19" i="57"/>
  <c r="E18" i="57"/>
  <c r="F18" i="57" s="1"/>
  <c r="B18" i="57"/>
  <c r="A18" i="57"/>
  <c r="E17" i="57"/>
  <c r="F17" i="57" s="1"/>
  <c r="B17" i="57"/>
  <c r="A17" i="57"/>
  <c r="E16" i="57"/>
  <c r="F16" i="57" s="1"/>
  <c r="B16" i="57"/>
  <c r="A16" i="57"/>
  <c r="E15" i="57"/>
  <c r="F15" i="57" s="1"/>
  <c r="B15" i="57"/>
  <c r="A15" i="57"/>
  <c r="E14" i="57"/>
  <c r="F14" i="57" s="1"/>
  <c r="B14" i="57"/>
  <c r="A14" i="57"/>
  <c r="E13" i="57"/>
  <c r="F13" i="57" s="1"/>
  <c r="B13" i="57"/>
  <c r="A13" i="57"/>
  <c r="E12" i="57"/>
  <c r="F12" i="57"/>
  <c r="B12" i="57"/>
  <c r="A12" i="57"/>
  <c r="E11" i="57"/>
  <c r="F11" i="57" s="1"/>
  <c r="B11" i="57"/>
  <c r="A11" i="57"/>
  <c r="E10" i="57"/>
  <c r="F10" i="57" s="1"/>
  <c r="B10" i="57"/>
  <c r="A10" i="57"/>
  <c r="E9" i="57"/>
  <c r="F9" i="57" s="1"/>
  <c r="B9" i="57"/>
  <c r="A9" i="57"/>
  <c r="E7" i="57"/>
  <c r="F7" i="57" s="1"/>
  <c r="B7" i="57"/>
  <c r="A7" i="57"/>
  <c r="E6" i="57"/>
  <c r="F6" i="57"/>
  <c r="B6" i="57"/>
  <c r="E5" i="57"/>
  <c r="F5" i="57" s="1"/>
  <c r="B5" i="57"/>
  <c r="I4" i="57"/>
  <c r="I83" i="57" s="1"/>
  <c r="J83" i="57" s="1"/>
  <c r="G4" i="57"/>
  <c r="G127" i="57" s="1"/>
  <c r="U129" i="43"/>
  <c r="U126" i="43"/>
  <c r="U125" i="43"/>
  <c r="U124" i="43"/>
  <c r="U122" i="43"/>
  <c r="U118" i="43"/>
  <c r="U116" i="43"/>
  <c r="U104" i="43"/>
  <c r="U103" i="43"/>
  <c r="U102" i="43"/>
  <c r="U101" i="43"/>
  <c r="U100" i="43"/>
  <c r="U99" i="43"/>
  <c r="U98" i="43"/>
  <c r="U97" i="43"/>
  <c r="U96" i="43"/>
  <c r="U95" i="43"/>
  <c r="U94" i="43"/>
  <c r="U93" i="43"/>
  <c r="U92" i="43"/>
  <c r="U66" i="43"/>
  <c r="U64" i="43"/>
  <c r="U63" i="43"/>
  <c r="U62" i="43"/>
  <c r="U61" i="43"/>
  <c r="U60" i="43"/>
  <c r="U59" i="43"/>
  <c r="U58" i="43"/>
  <c r="U57" i="43"/>
  <c r="U56" i="43"/>
  <c r="U55" i="43"/>
  <c r="U54" i="43"/>
  <c r="U53" i="43"/>
  <c r="U52" i="43"/>
  <c r="U51" i="43"/>
  <c r="U50" i="43"/>
  <c r="U49" i="43"/>
  <c r="U48" i="43"/>
  <c r="U47" i="43"/>
  <c r="U46" i="43"/>
  <c r="U45" i="43"/>
  <c r="U44" i="43"/>
  <c r="U43" i="43"/>
  <c r="U42" i="43"/>
  <c r="U41" i="43"/>
  <c r="U40" i="43"/>
  <c r="U39" i="43"/>
  <c r="U38" i="43"/>
  <c r="U37" i="43"/>
  <c r="U36" i="43"/>
  <c r="U35" i="43"/>
  <c r="U34" i="43"/>
  <c r="U33" i="43"/>
  <c r="U32" i="43"/>
  <c r="U31" i="43"/>
  <c r="U30" i="43"/>
  <c r="U29" i="43"/>
  <c r="U28" i="43"/>
  <c r="U27" i="43"/>
  <c r="U26" i="43"/>
  <c r="U25" i="43"/>
  <c r="U24" i="43"/>
  <c r="U23" i="43"/>
  <c r="U22" i="43"/>
  <c r="U21" i="43"/>
  <c r="U20" i="43"/>
  <c r="U19" i="43"/>
  <c r="U18" i="43"/>
  <c r="U17" i="43"/>
  <c r="U16" i="43"/>
  <c r="U15" i="43"/>
  <c r="U14" i="43"/>
  <c r="U13" i="43"/>
  <c r="U12" i="43"/>
  <c r="U11" i="43"/>
  <c r="U10" i="43"/>
  <c r="U9" i="43"/>
  <c r="P84" i="14"/>
  <c r="P112" i="14"/>
  <c r="P140" i="14" s="1"/>
  <c r="P168" i="14" s="1"/>
  <c r="M84" i="14"/>
  <c r="M112" i="14" s="1"/>
  <c r="M140" i="14" s="1"/>
  <c r="M168" i="14" s="1"/>
  <c r="L84" i="14"/>
  <c r="L112" i="14" s="1"/>
  <c r="L140" i="14" s="1"/>
  <c r="L168" i="14"/>
  <c r="K84" i="14"/>
  <c r="O84" i="14" s="1"/>
  <c r="P83" i="14"/>
  <c r="P111" i="14" s="1"/>
  <c r="P139" i="14" s="1"/>
  <c r="P167" i="14" s="1"/>
  <c r="M83" i="14"/>
  <c r="M111" i="14" s="1"/>
  <c r="M139" i="14" s="1"/>
  <c r="M167" i="14" s="1"/>
  <c r="L83" i="14"/>
  <c r="L111" i="14" s="1"/>
  <c r="L139" i="14"/>
  <c r="L167" i="14" s="1"/>
  <c r="K83" i="14"/>
  <c r="K111" i="14" s="1"/>
  <c r="P82" i="14"/>
  <c r="P110" i="14" s="1"/>
  <c r="P138" i="14" s="1"/>
  <c r="P166" i="14" s="1"/>
  <c r="M82" i="14"/>
  <c r="M110" i="14" s="1"/>
  <c r="M138" i="14" s="1"/>
  <c r="M166" i="14" s="1"/>
  <c r="L82" i="14"/>
  <c r="L110" i="14" s="1"/>
  <c r="L138" i="14" s="1"/>
  <c r="L166" i="14" s="1"/>
  <c r="K82" i="14"/>
  <c r="P81" i="14"/>
  <c r="P109" i="14" s="1"/>
  <c r="P137" i="14" s="1"/>
  <c r="P165" i="14" s="1"/>
  <c r="M81" i="14"/>
  <c r="M109" i="14" s="1"/>
  <c r="M137" i="14" s="1"/>
  <c r="M165" i="14" s="1"/>
  <c r="L81" i="14"/>
  <c r="L109" i="14" s="1"/>
  <c r="L137" i="14" s="1"/>
  <c r="L165" i="14" s="1"/>
  <c r="K81" i="14"/>
  <c r="K109" i="14" s="1"/>
  <c r="P80" i="14"/>
  <c r="P108" i="14" s="1"/>
  <c r="P136" i="14"/>
  <c r="P164" i="14" s="1"/>
  <c r="M80" i="14"/>
  <c r="M108" i="14" s="1"/>
  <c r="M136" i="14" s="1"/>
  <c r="M164" i="14" s="1"/>
  <c r="L80" i="14"/>
  <c r="L108" i="14" s="1"/>
  <c r="L136" i="14" s="1"/>
  <c r="L164" i="14" s="1"/>
  <c r="K80" i="14"/>
  <c r="K108" i="14" s="1"/>
  <c r="O108" i="14" s="1"/>
  <c r="P79" i="14"/>
  <c r="P107" i="14" s="1"/>
  <c r="P135" i="14" s="1"/>
  <c r="P163" i="14" s="1"/>
  <c r="M79" i="14"/>
  <c r="M107" i="14" s="1"/>
  <c r="M135" i="14" s="1"/>
  <c r="M163" i="14" s="1"/>
  <c r="L79" i="14"/>
  <c r="L107" i="14" s="1"/>
  <c r="L135" i="14" s="1"/>
  <c r="L163" i="14" s="1"/>
  <c r="K79" i="14"/>
  <c r="P78" i="14"/>
  <c r="P106" i="14" s="1"/>
  <c r="P134" i="14" s="1"/>
  <c r="P162" i="14" s="1"/>
  <c r="M78" i="14"/>
  <c r="M106" i="14" s="1"/>
  <c r="M134" i="14" s="1"/>
  <c r="M162" i="14" s="1"/>
  <c r="L78" i="14"/>
  <c r="L106" i="14" s="1"/>
  <c r="L134" i="14" s="1"/>
  <c r="L162" i="14" s="1"/>
  <c r="K78" i="14"/>
  <c r="O78" i="14" s="1"/>
  <c r="P77" i="14"/>
  <c r="P105" i="14" s="1"/>
  <c r="P133" i="14" s="1"/>
  <c r="P161" i="14" s="1"/>
  <c r="M77" i="14"/>
  <c r="M105" i="14" s="1"/>
  <c r="M133" i="14" s="1"/>
  <c r="M161" i="14" s="1"/>
  <c r="L77" i="14"/>
  <c r="L105" i="14"/>
  <c r="L133" i="14" s="1"/>
  <c r="L161" i="14" s="1"/>
  <c r="K77" i="14"/>
  <c r="P76" i="14"/>
  <c r="P104" i="14" s="1"/>
  <c r="P132" i="14"/>
  <c r="P160" i="14"/>
  <c r="M76" i="14"/>
  <c r="M104" i="14" s="1"/>
  <c r="M132" i="14" s="1"/>
  <c r="M160" i="14" s="1"/>
  <c r="L76" i="14"/>
  <c r="L104" i="14" s="1"/>
  <c r="L132" i="14"/>
  <c r="L160" i="14"/>
  <c r="K76" i="14"/>
  <c r="K104" i="14" s="1"/>
  <c r="P75" i="14"/>
  <c r="P103" i="14" s="1"/>
  <c r="P131" i="14" s="1"/>
  <c r="P159" i="14" s="1"/>
  <c r="M75" i="14"/>
  <c r="M103" i="14" s="1"/>
  <c r="M131" i="14" s="1"/>
  <c r="M159" i="14" s="1"/>
  <c r="L75" i="14"/>
  <c r="L103" i="14" s="1"/>
  <c r="L131" i="14" s="1"/>
  <c r="L159" i="14"/>
  <c r="K75" i="14"/>
  <c r="N75" i="14" s="1"/>
  <c r="P74" i="14"/>
  <c r="P102" i="14" s="1"/>
  <c r="P130" i="14" s="1"/>
  <c r="P158" i="14" s="1"/>
  <c r="M74" i="14"/>
  <c r="M102" i="14" s="1"/>
  <c r="M130" i="14" s="1"/>
  <c r="M158" i="14" s="1"/>
  <c r="L74" i="14"/>
  <c r="L102" i="14" s="1"/>
  <c r="L130" i="14" s="1"/>
  <c r="L158" i="14" s="1"/>
  <c r="K74" i="14"/>
  <c r="P73" i="14"/>
  <c r="P101" i="14" s="1"/>
  <c r="P129" i="14" s="1"/>
  <c r="P157" i="14" s="1"/>
  <c r="M73" i="14"/>
  <c r="M101" i="14"/>
  <c r="M129" i="14" s="1"/>
  <c r="M157" i="14" s="1"/>
  <c r="L73" i="14"/>
  <c r="L101" i="14" s="1"/>
  <c r="L129" i="14" s="1"/>
  <c r="L157" i="14" s="1"/>
  <c r="K73" i="14"/>
  <c r="P72" i="14"/>
  <c r="P100" i="14" s="1"/>
  <c r="P128" i="14" s="1"/>
  <c r="P156" i="14" s="1"/>
  <c r="M72" i="14"/>
  <c r="M100" i="14" s="1"/>
  <c r="M128" i="14" s="1"/>
  <c r="M156" i="14" s="1"/>
  <c r="L72" i="14"/>
  <c r="L100" i="14" s="1"/>
  <c r="L128" i="14" s="1"/>
  <c r="L156" i="14" s="1"/>
  <c r="K72" i="14"/>
  <c r="P71" i="14"/>
  <c r="P99" i="14" s="1"/>
  <c r="P127" i="14" s="1"/>
  <c r="P155" i="14" s="1"/>
  <c r="M71" i="14"/>
  <c r="M99" i="14"/>
  <c r="M127" i="14" s="1"/>
  <c r="M155" i="14" s="1"/>
  <c r="L71" i="14"/>
  <c r="L99" i="14" s="1"/>
  <c r="L127" i="14" s="1"/>
  <c r="L155" i="14" s="1"/>
  <c r="K71" i="14"/>
  <c r="P70" i="14"/>
  <c r="P98" i="14" s="1"/>
  <c r="P126" i="14" s="1"/>
  <c r="P154" i="14" s="1"/>
  <c r="M70" i="14"/>
  <c r="M98" i="14" s="1"/>
  <c r="M126" i="14" s="1"/>
  <c r="M154" i="14" s="1"/>
  <c r="L70" i="14"/>
  <c r="L98" i="14" s="1"/>
  <c r="L126" i="14" s="1"/>
  <c r="L154" i="14" s="1"/>
  <c r="K70" i="14"/>
  <c r="K98" i="14" s="1"/>
  <c r="O98" i="14" s="1"/>
  <c r="P69" i="14"/>
  <c r="P97" i="14" s="1"/>
  <c r="P125" i="14" s="1"/>
  <c r="P153" i="14" s="1"/>
  <c r="M69" i="14"/>
  <c r="M97" i="14" s="1"/>
  <c r="M125" i="14" s="1"/>
  <c r="M153" i="14" s="1"/>
  <c r="L69" i="14"/>
  <c r="L97" i="14" s="1"/>
  <c r="L125" i="14" s="1"/>
  <c r="L153" i="14" s="1"/>
  <c r="K69" i="14"/>
  <c r="P68" i="14"/>
  <c r="P96" i="14" s="1"/>
  <c r="P124" i="14"/>
  <c r="P152" i="14"/>
  <c r="M68" i="14"/>
  <c r="M96" i="14" s="1"/>
  <c r="M124" i="14" s="1"/>
  <c r="M152" i="14" s="1"/>
  <c r="L68" i="14"/>
  <c r="L96" i="14"/>
  <c r="L124" i="14" s="1"/>
  <c r="L152" i="14" s="1"/>
  <c r="K68" i="14"/>
  <c r="K96" i="14" s="1"/>
  <c r="P67" i="14"/>
  <c r="P95" i="14" s="1"/>
  <c r="P123" i="14" s="1"/>
  <c r="P151" i="14" s="1"/>
  <c r="M67" i="14"/>
  <c r="M95" i="14"/>
  <c r="M123" i="14"/>
  <c r="M151" i="14" s="1"/>
  <c r="L67" i="14"/>
  <c r="L95" i="14" s="1"/>
  <c r="L123" i="14" s="1"/>
  <c r="L151" i="14" s="1"/>
  <c r="K67" i="14"/>
  <c r="P66" i="14"/>
  <c r="P94" i="14"/>
  <c r="P122" i="14" s="1"/>
  <c r="P150" i="14" s="1"/>
  <c r="M66" i="14"/>
  <c r="M94" i="14" s="1"/>
  <c r="M122" i="14" s="1"/>
  <c r="M150" i="14" s="1"/>
  <c r="L66" i="14"/>
  <c r="L94" i="14" s="1"/>
  <c r="L122" i="14" s="1"/>
  <c r="L150" i="14" s="1"/>
  <c r="K66" i="14"/>
  <c r="K94" i="14" s="1"/>
  <c r="P65" i="14"/>
  <c r="P93" i="14" s="1"/>
  <c r="P121" i="14" s="1"/>
  <c r="P149" i="14" s="1"/>
  <c r="M65" i="14"/>
  <c r="M93" i="14" s="1"/>
  <c r="M121" i="14" s="1"/>
  <c r="M149" i="14" s="1"/>
  <c r="L65" i="14"/>
  <c r="L93" i="14" s="1"/>
  <c r="L121" i="14" s="1"/>
  <c r="L149" i="14" s="1"/>
  <c r="K65" i="14"/>
  <c r="P64" i="14"/>
  <c r="P92" i="14" s="1"/>
  <c r="P120" i="14" s="1"/>
  <c r="P148" i="14" s="1"/>
  <c r="M64" i="14"/>
  <c r="M92" i="14" s="1"/>
  <c r="M120" i="14" s="1"/>
  <c r="M148" i="14" s="1"/>
  <c r="L64" i="14"/>
  <c r="L92" i="14" s="1"/>
  <c r="L120" i="14" s="1"/>
  <c r="L148" i="14" s="1"/>
  <c r="K64" i="14"/>
  <c r="N64" i="14" s="1"/>
  <c r="O56" i="14"/>
  <c r="Z28" i="14" s="1"/>
  <c r="N56" i="14"/>
  <c r="Y28" i="14" s="1"/>
  <c r="O55" i="14"/>
  <c r="Z27" i="14" s="1"/>
  <c r="N55" i="14"/>
  <c r="Y27" i="14" s="1"/>
  <c r="O54" i="14"/>
  <c r="Z26" i="14" s="1"/>
  <c r="N54" i="14"/>
  <c r="Y26" i="14" s="1"/>
  <c r="O53" i="14"/>
  <c r="Z25" i="14" s="1"/>
  <c r="N53" i="14"/>
  <c r="Y25" i="14" s="1"/>
  <c r="O52" i="14"/>
  <c r="Z24" i="14" s="1"/>
  <c r="N52" i="14"/>
  <c r="Y24" i="14" s="1"/>
  <c r="O51" i="14"/>
  <c r="Z23" i="14" s="1"/>
  <c r="N51" i="14"/>
  <c r="Y23" i="14" s="1"/>
  <c r="O50" i="14"/>
  <c r="Z22" i="14" s="1"/>
  <c r="N50" i="14"/>
  <c r="Y22" i="14" s="1"/>
  <c r="O49" i="14"/>
  <c r="Z21" i="14" s="1"/>
  <c r="N49" i="14"/>
  <c r="Y21" i="14" s="1"/>
  <c r="O48" i="14"/>
  <c r="Z20" i="14" s="1"/>
  <c r="N48" i="14"/>
  <c r="Y20" i="14" s="1"/>
  <c r="O47" i="14"/>
  <c r="Z19" i="14" s="1"/>
  <c r="N47" i="14"/>
  <c r="Y19" i="14" s="1"/>
  <c r="O46" i="14"/>
  <c r="Z18" i="14" s="1"/>
  <c r="N46" i="14"/>
  <c r="Y18" i="14" s="1"/>
  <c r="O45" i="14"/>
  <c r="Z17" i="14" s="1"/>
  <c r="N45" i="14"/>
  <c r="Y17" i="14" s="1"/>
  <c r="O44" i="14"/>
  <c r="Z16" i="14" s="1"/>
  <c r="N44" i="14"/>
  <c r="Y16" i="14" s="1"/>
  <c r="O43" i="14"/>
  <c r="Z15" i="14" s="1"/>
  <c r="N43" i="14"/>
  <c r="Y15" i="14" s="1"/>
  <c r="O42" i="14"/>
  <c r="Z14" i="14" s="1"/>
  <c r="N42" i="14"/>
  <c r="Y14" i="14" s="1"/>
  <c r="O41" i="14"/>
  <c r="Z13" i="14" s="1"/>
  <c r="N41" i="14"/>
  <c r="Y13" i="14" s="1"/>
  <c r="O40" i="14"/>
  <c r="Z12" i="14" s="1"/>
  <c r="N40" i="14"/>
  <c r="Y12" i="14" s="1"/>
  <c r="O39" i="14"/>
  <c r="Z11" i="14" s="1"/>
  <c r="N39" i="14"/>
  <c r="Y11" i="14" s="1"/>
  <c r="O38" i="14"/>
  <c r="Z10" i="14" s="1"/>
  <c r="N38" i="14"/>
  <c r="Y10" i="14" s="1"/>
  <c r="O37" i="14"/>
  <c r="Z9" i="14" s="1"/>
  <c r="N37" i="14"/>
  <c r="Y9" i="14" s="1"/>
  <c r="O36" i="14"/>
  <c r="Z8" i="14" s="1"/>
  <c r="N36" i="14"/>
  <c r="Y8" i="14" s="1"/>
  <c r="O28" i="14"/>
  <c r="N28" i="14"/>
  <c r="O27" i="14"/>
  <c r="N27" i="14"/>
  <c r="O26" i="14"/>
  <c r="N26" i="14"/>
  <c r="O25" i="14"/>
  <c r="N25" i="14"/>
  <c r="O24" i="14"/>
  <c r="N24" i="14"/>
  <c r="O23" i="14"/>
  <c r="N23" i="14"/>
  <c r="O22" i="14"/>
  <c r="N22" i="14"/>
  <c r="O21" i="14"/>
  <c r="N21" i="14"/>
  <c r="O20" i="14"/>
  <c r="N20" i="14"/>
  <c r="O19" i="14"/>
  <c r="N19" i="14"/>
  <c r="O18" i="14"/>
  <c r="N18" i="14"/>
  <c r="O17" i="14"/>
  <c r="N17" i="14"/>
  <c r="O16" i="14"/>
  <c r="N16" i="14"/>
  <c r="O15" i="14"/>
  <c r="N15" i="14"/>
  <c r="O14" i="14"/>
  <c r="N14" i="14"/>
  <c r="O13" i="14"/>
  <c r="N13" i="14"/>
  <c r="O12" i="14"/>
  <c r="N12" i="14"/>
  <c r="O11" i="14"/>
  <c r="N11" i="14"/>
  <c r="O10" i="14"/>
  <c r="N10" i="14"/>
  <c r="O9" i="14"/>
  <c r="N9" i="14"/>
  <c r="O8" i="14"/>
  <c r="N8" i="14"/>
  <c r="J26" i="55"/>
  <c r="M6" i="35"/>
  <c r="J24" i="55"/>
  <c r="J23" i="55"/>
  <c r="J22" i="55"/>
  <c r="M4" i="35" s="1"/>
  <c r="J21" i="55"/>
  <c r="N15" i="55"/>
  <c r="J14" i="55"/>
  <c r="J13" i="55"/>
  <c r="J12" i="55"/>
  <c r="N12" i="55" s="1"/>
  <c r="D11" i="55"/>
  <c r="J11" i="55" s="1"/>
  <c r="N11" i="55" s="1"/>
  <c r="U34" i="54"/>
  <c r="U32" i="54" s="1"/>
  <c r="U33" i="54"/>
  <c r="U30" i="54"/>
  <c r="U29" i="54"/>
  <c r="U27" i="54"/>
  <c r="U26" i="54"/>
  <c r="U25" i="54"/>
  <c r="U24" i="54"/>
  <c r="U23" i="54"/>
  <c r="U19" i="54"/>
  <c r="U18" i="54"/>
  <c r="U17" i="54" s="1"/>
  <c r="U16" i="54"/>
  <c r="U15" i="54"/>
  <c r="U14" i="54"/>
  <c r="U13" i="54"/>
  <c r="U11" i="54"/>
  <c r="U10" i="54"/>
  <c r="U9" i="54"/>
  <c r="U6" i="54"/>
  <c r="U5" i="54"/>
  <c r="L16" i="53"/>
  <c r="U22" i="54"/>
  <c r="F23" i="62"/>
  <c r="G23" i="62" s="1"/>
  <c r="F22" i="62"/>
  <c r="G22" i="62" s="1"/>
  <c r="AF79" i="46"/>
  <c r="AF20" i="46"/>
  <c r="AF14" i="46"/>
  <c r="AH45" i="46"/>
  <c r="AF10" i="46"/>
  <c r="AH20" i="46"/>
  <c r="AH79" i="46"/>
  <c r="AH14" i="46"/>
  <c r="AF80" i="46"/>
  <c r="AF23" i="46"/>
  <c r="AM24" i="46"/>
  <c r="AO24" i="46" s="1"/>
  <c r="AP24" i="46" s="1"/>
  <c r="AM13" i="46"/>
  <c r="AO13" i="46" s="1"/>
  <c r="AP13" i="46" s="1"/>
  <c r="AH75" i="46"/>
  <c r="AH10" i="46"/>
  <c r="AF61" i="46"/>
  <c r="AH43" i="46"/>
  <c r="AF88" i="46"/>
  <c r="AH88" i="46"/>
  <c r="AH61" i="46"/>
  <c r="AF75" i="46"/>
  <c r="AF45" i="46"/>
  <c r="AF43" i="46"/>
  <c r="G108" i="57"/>
  <c r="H108" i="57" s="1"/>
  <c r="I113" i="57"/>
  <c r="J113" i="57" s="1"/>
  <c r="I120" i="57"/>
  <c r="J120" i="57" s="1"/>
  <c r="G73" i="57"/>
  <c r="Q5" i="56"/>
  <c r="G11" i="62"/>
  <c r="N4" i="61" s="1"/>
  <c r="R5" i="56"/>
  <c r="L5" i="56"/>
  <c r="R6" i="56"/>
  <c r="Q6" i="56"/>
  <c r="L6" i="56"/>
  <c r="M6" i="43"/>
  <c r="K93" i="14"/>
  <c r="O65" i="14"/>
  <c r="N65" i="14"/>
  <c r="K97" i="14"/>
  <c r="N97" i="14" s="1"/>
  <c r="O69" i="14"/>
  <c r="N69" i="14"/>
  <c r="K99" i="14"/>
  <c r="N99" i="14" s="1"/>
  <c r="O71" i="14"/>
  <c r="N71" i="14"/>
  <c r="K100" i="14"/>
  <c r="K128" i="14" s="1"/>
  <c r="O72" i="14"/>
  <c r="N72" i="14"/>
  <c r="K101" i="14"/>
  <c r="O73" i="14"/>
  <c r="N73" i="14"/>
  <c r="K103" i="14"/>
  <c r="O103" i="14" s="1"/>
  <c r="O75" i="14"/>
  <c r="O83" i="14"/>
  <c r="N83" i="14"/>
  <c r="G101" i="57"/>
  <c r="G14" i="57"/>
  <c r="I129" i="57"/>
  <c r="J129" i="57" s="1"/>
  <c r="I126" i="57"/>
  <c r="J126" i="57" s="1"/>
  <c r="G26" i="58"/>
  <c r="H26" i="58"/>
  <c r="G24" i="58"/>
  <c r="H24" i="58" s="1"/>
  <c r="G22" i="58"/>
  <c r="G20" i="58"/>
  <c r="H20" i="58" s="1"/>
  <c r="G19" i="58"/>
  <c r="G18" i="58"/>
  <c r="G17" i="58"/>
  <c r="H17" i="58" s="1"/>
  <c r="G16" i="58"/>
  <c r="H16" i="58" s="1"/>
  <c r="G14" i="58"/>
  <c r="H14" i="58" s="1"/>
  <c r="G13" i="58"/>
  <c r="H13" i="58" s="1"/>
  <c r="G11" i="58"/>
  <c r="H11" i="58" s="1"/>
  <c r="G10" i="58"/>
  <c r="G9" i="58"/>
  <c r="H9" i="58" s="1"/>
  <c r="G8" i="58"/>
  <c r="H8" i="58" s="1"/>
  <c r="G6" i="58"/>
  <c r="H6" i="58" s="1"/>
  <c r="G5" i="58"/>
  <c r="H5" i="58" s="1"/>
  <c r="AB98" i="46"/>
  <c r="AB96" i="46"/>
  <c r="AB91" i="46"/>
  <c r="AB88" i="46"/>
  <c r="AB87" i="46"/>
  <c r="AA86" i="46"/>
  <c r="AB86" i="46"/>
  <c r="AB85" i="46"/>
  <c r="AB84" i="46"/>
  <c r="AB83" i="46"/>
  <c r="AA82" i="46"/>
  <c r="AB80" i="46"/>
  <c r="AB79" i="46"/>
  <c r="AA69" i="46"/>
  <c r="AB62" i="46"/>
  <c r="AB61" i="46"/>
  <c r="AA55" i="46"/>
  <c r="AA54" i="46"/>
  <c r="AA44" i="46"/>
  <c r="AA43" i="46"/>
  <c r="AA42" i="46"/>
  <c r="AB42" i="46" s="1"/>
  <c r="AA41" i="46"/>
  <c r="AA32" i="46"/>
  <c r="AD32" i="46" s="1"/>
  <c r="AA29" i="46"/>
  <c r="AA19" i="46"/>
  <c r="AB12" i="46"/>
  <c r="AB10" i="46"/>
  <c r="AB8" i="46"/>
  <c r="AH8" i="46"/>
  <c r="AF8" i="46"/>
  <c r="AH12" i="46"/>
  <c r="AF12" i="46"/>
  <c r="V45" i="46"/>
  <c r="W45" i="46" s="1"/>
  <c r="AB48" i="46"/>
  <c r="AH48" i="46"/>
  <c r="AF48" i="46"/>
  <c r="AH56" i="46"/>
  <c r="AF56" i="46"/>
  <c r="AH58" i="46"/>
  <c r="AF58" i="46"/>
  <c r="AH62" i="46"/>
  <c r="AF62" i="46"/>
  <c r="AH64" i="46"/>
  <c r="AF64" i="46"/>
  <c r="AH83" i="46"/>
  <c r="AF83" i="46"/>
  <c r="AH84" i="46"/>
  <c r="AF84" i="46"/>
  <c r="AH85" i="46"/>
  <c r="AF85" i="46"/>
  <c r="AH86" i="46"/>
  <c r="AF86" i="46"/>
  <c r="AH87" i="46"/>
  <c r="AF87" i="46"/>
  <c r="AH89" i="46"/>
  <c r="AF89" i="46"/>
  <c r="AH90" i="46"/>
  <c r="AI90" i="46" s="1"/>
  <c r="AJ90" i="46" s="1"/>
  <c r="AF90" i="46"/>
  <c r="AH91" i="46"/>
  <c r="AF91" i="46"/>
  <c r="AB92" i="46"/>
  <c r="AH92" i="46"/>
  <c r="AF92" i="46"/>
  <c r="AB93" i="46"/>
  <c r="AH93" i="46"/>
  <c r="AF93" i="46"/>
  <c r="AH96" i="46"/>
  <c r="AF96" i="46"/>
  <c r="AH98" i="46"/>
  <c r="AF98" i="46"/>
  <c r="G4" i="35"/>
  <c r="G5" i="35"/>
  <c r="O5" i="51"/>
  <c r="O5" i="49"/>
  <c r="O5" i="34"/>
  <c r="G6" i="35"/>
  <c r="G7" i="35"/>
  <c r="G9" i="35"/>
  <c r="G10" i="35"/>
  <c r="G11" i="35"/>
  <c r="G12" i="35"/>
  <c r="G13" i="35"/>
  <c r="I4" i="34"/>
  <c r="I5" i="34"/>
  <c r="I6" i="34"/>
  <c r="I7" i="34"/>
  <c r="I8" i="34"/>
  <c r="I9" i="34"/>
  <c r="I10" i="34"/>
  <c r="I11" i="34"/>
  <c r="I12" i="34"/>
  <c r="I13" i="34"/>
  <c r="I15" i="34"/>
  <c r="I16" i="34"/>
  <c r="I17" i="34"/>
  <c r="I19" i="34"/>
  <c r="I20" i="34"/>
  <c r="I21" i="34"/>
  <c r="I22" i="34"/>
  <c r="I24" i="34"/>
  <c r="I25" i="34"/>
  <c r="I26" i="34"/>
  <c r="I27" i="34"/>
  <c r="I28" i="34"/>
  <c r="I29" i="34"/>
  <c r="I30" i="34"/>
  <c r="I31" i="34"/>
  <c r="I32" i="34"/>
  <c r="I33" i="34"/>
  <c r="I4" i="49"/>
  <c r="I5" i="49"/>
  <c r="I6" i="49"/>
  <c r="I7" i="49"/>
  <c r="I8" i="49"/>
  <c r="I9" i="49"/>
  <c r="I10" i="49"/>
  <c r="I11" i="49"/>
  <c r="I12" i="49"/>
  <c r="I13" i="49"/>
  <c r="I14" i="49"/>
  <c r="I15" i="49"/>
  <c r="I16" i="49"/>
  <c r="I17" i="49"/>
  <c r="I18" i="49"/>
  <c r="I19" i="49"/>
  <c r="I20" i="49"/>
  <c r="I21" i="49"/>
  <c r="I22" i="49"/>
  <c r="I23" i="49"/>
  <c r="I24" i="49"/>
  <c r="I26" i="49"/>
  <c r="I27" i="49"/>
  <c r="I28" i="49"/>
  <c r="I29" i="49"/>
  <c r="I31" i="49"/>
  <c r="I32" i="49"/>
  <c r="I33" i="49"/>
  <c r="I34" i="49"/>
  <c r="I35" i="49"/>
  <c r="I36" i="49"/>
  <c r="I37" i="49"/>
  <c r="I38" i="49"/>
  <c r="I39" i="49"/>
  <c r="I40" i="49"/>
  <c r="I42" i="49"/>
  <c r="I43" i="49"/>
  <c r="I44" i="49"/>
  <c r="I45" i="49"/>
  <c r="I46" i="49"/>
  <c r="I47" i="49"/>
  <c r="I48" i="49"/>
  <c r="I49" i="49"/>
  <c r="I51" i="49"/>
  <c r="I52" i="49"/>
  <c r="I53" i="49"/>
  <c r="I54" i="49"/>
  <c r="I55" i="49"/>
  <c r="I56" i="49"/>
  <c r="I57" i="49"/>
  <c r="I58" i="49"/>
  <c r="I59" i="49"/>
  <c r="I60" i="49"/>
  <c r="I62" i="49"/>
  <c r="I63" i="49"/>
  <c r="I64" i="49"/>
  <c r="I65" i="49"/>
  <c r="I66" i="49"/>
  <c r="I67" i="49"/>
  <c r="I68" i="49"/>
  <c r="I69" i="49"/>
  <c r="I70" i="49"/>
  <c r="I71" i="49"/>
  <c r="I72" i="49"/>
  <c r="I73" i="49"/>
  <c r="I74" i="49"/>
  <c r="I75" i="49"/>
  <c r="I76" i="49"/>
  <c r="I77" i="49"/>
  <c r="I78" i="49"/>
  <c r="I79" i="49"/>
  <c r="I80" i="49"/>
  <c r="I81" i="49"/>
  <c r="I82" i="49"/>
  <c r="I83" i="49"/>
  <c r="I84" i="49"/>
  <c r="I85" i="49"/>
  <c r="I86" i="49"/>
  <c r="I87" i="49"/>
  <c r="I88" i="49"/>
  <c r="I89" i="49"/>
  <c r="F19" i="62"/>
  <c r="G19" i="62" s="1"/>
  <c r="F20" i="62"/>
  <c r="G20" i="62"/>
  <c r="F21" i="62"/>
  <c r="G21" i="62" s="1"/>
  <c r="D10" i="48"/>
  <c r="H10" i="48" s="1"/>
  <c r="J10" i="48" s="1"/>
  <c r="D6" i="48"/>
  <c r="H6" i="48" s="1"/>
  <c r="J6" i="48" s="1"/>
  <c r="D5" i="48"/>
  <c r="H5" i="48" s="1"/>
  <c r="J5" i="48" s="1"/>
  <c r="H4" i="48"/>
  <c r="J4" i="48" s="1"/>
  <c r="H11" i="48"/>
  <c r="J11" i="48" s="1"/>
  <c r="B13" i="68"/>
  <c r="F13" i="68" s="1"/>
  <c r="F21" i="68" s="1"/>
  <c r="F7" i="68"/>
  <c r="AM20" i="46"/>
  <c r="AO20" i="46" s="1"/>
  <c r="AP20" i="46" s="1"/>
  <c r="AM75" i="46"/>
  <c r="AO75" i="46" s="1"/>
  <c r="AP75" i="46" s="1"/>
  <c r="AM89" i="46"/>
  <c r="AO89" i="46" s="1"/>
  <c r="AP89" i="46" s="1"/>
  <c r="AB23" i="46"/>
  <c r="AM14" i="46"/>
  <c r="AO14" i="46" s="1"/>
  <c r="AP14" i="46" s="1"/>
  <c r="AB14" i="46"/>
  <c r="AO56" i="46"/>
  <c r="AP56" i="46" s="1"/>
  <c r="AM45" i="46"/>
  <c r="AO45" i="46" s="1"/>
  <c r="AP45" i="46" s="1"/>
  <c r="AB20" i="46"/>
  <c r="AM90" i="46"/>
  <c r="AO90" i="46" s="1"/>
  <c r="AP90" i="46" s="1"/>
  <c r="AM64" i="46"/>
  <c r="AO64" i="46" s="1"/>
  <c r="AP64" i="46" s="1"/>
  <c r="AM58" i="46"/>
  <c r="AO58" i="46" s="1"/>
  <c r="AP58" i="46" s="1"/>
  <c r="AM43" i="46"/>
  <c r="AO43" i="46" s="1"/>
  <c r="AP43" i="46" s="1"/>
  <c r="Y80" i="46"/>
  <c r="Y14" i="46"/>
  <c r="Y20" i="46"/>
  <c r="Y24" i="46"/>
  <c r="Y23" i="46"/>
  <c r="AM93" i="46"/>
  <c r="AO93" i="46" s="1"/>
  <c r="AP93" i="46" s="1"/>
  <c r="AM92" i="46"/>
  <c r="AO92" i="46" s="1"/>
  <c r="AP92" i="46" s="1"/>
  <c r="Y13" i="46"/>
  <c r="T5" i="56"/>
  <c r="Y79" i="46"/>
  <c r="Y10" i="46"/>
  <c r="Y75" i="46"/>
  <c r="Y43" i="46"/>
  <c r="AB45" i="46"/>
  <c r="Y45" i="46"/>
  <c r="AB43" i="46"/>
  <c r="Y88" i="46"/>
  <c r="Y61" i="46"/>
  <c r="U5" i="43"/>
  <c r="T6" i="56"/>
  <c r="U6" i="43"/>
  <c r="Y96" i="46"/>
  <c r="Y85" i="46"/>
  <c r="Y64" i="46"/>
  <c r="Y8" i="46"/>
  <c r="Y98" i="46"/>
  <c r="Y91" i="46"/>
  <c r="Y93" i="46"/>
  <c r="Y87" i="46"/>
  <c r="Y58" i="46"/>
  <c r="Y84" i="46"/>
  <c r="Y90" i="46"/>
  <c r="Y62" i="46"/>
  <c r="Y48" i="46"/>
  <c r="Y92" i="46"/>
  <c r="Y86" i="46"/>
  <c r="Y56" i="46"/>
  <c r="Y12" i="46"/>
  <c r="Y89" i="46"/>
  <c r="Y83" i="46"/>
  <c r="AM10" i="46"/>
  <c r="AO10" i="46" s="1"/>
  <c r="AP10" i="46" s="1"/>
  <c r="AM48" i="46"/>
  <c r="AO48" i="46" s="1"/>
  <c r="AP48" i="46" s="1"/>
  <c r="AM86" i="46"/>
  <c r="AO86" i="46" s="1"/>
  <c r="AP86" i="46" s="1"/>
  <c r="AM88" i="46"/>
  <c r="AO88" i="46" s="1"/>
  <c r="AP88" i="46" s="1"/>
  <c r="K137" i="14"/>
  <c r="K165" i="14" s="1"/>
  <c r="O109" i="14"/>
  <c r="N109" i="14"/>
  <c r="K129" i="14"/>
  <c r="O101" i="14"/>
  <c r="N101" i="14"/>
  <c r="N100" i="14"/>
  <c r="K127" i="14"/>
  <c r="O99" i="14"/>
  <c r="K125" i="14"/>
  <c r="K153" i="14" s="1"/>
  <c r="K122" i="14"/>
  <c r="K150" i="14" s="1"/>
  <c r="O94" i="14"/>
  <c r="N94" i="14"/>
  <c r="AM84" i="46"/>
  <c r="AO84" i="46" s="1"/>
  <c r="AP84" i="46" s="1"/>
  <c r="AM23" i="46"/>
  <c r="AO23" i="46" s="1"/>
  <c r="AP23" i="46" s="1"/>
  <c r="AM80" i="46"/>
  <c r="AO80" i="46" s="1"/>
  <c r="AP80" i="46" s="1"/>
  <c r="AM61" i="46"/>
  <c r="AO61" i="46" s="1"/>
  <c r="AP61" i="46" s="1"/>
  <c r="AM79" i="46"/>
  <c r="AO79" i="46" s="1"/>
  <c r="AP79" i="46" s="1"/>
  <c r="AM8" i="46"/>
  <c r="AO8" i="46" s="1"/>
  <c r="AP8" i="46" s="1"/>
  <c r="AM62" i="46"/>
  <c r="AO62" i="46" s="1"/>
  <c r="AP62" i="46" s="1"/>
  <c r="AM83" i="46"/>
  <c r="AO83" i="46" s="1"/>
  <c r="AP83" i="46" s="1"/>
  <c r="V84" i="57"/>
  <c r="J84" i="43" s="1"/>
  <c r="K84" i="43" s="1"/>
  <c r="V90" i="57"/>
  <c r="J90" i="43" s="1"/>
  <c r="N122" i="14"/>
  <c r="K157" i="14"/>
  <c r="N157" i="14" s="1"/>
  <c r="O129" i="14"/>
  <c r="N129" i="14"/>
  <c r="AD15" i="76"/>
  <c r="AD40" i="76" s="1"/>
  <c r="V112" i="57"/>
  <c r="J112" i="43" s="1"/>
  <c r="V113" i="57"/>
  <c r="J113" i="43" s="1"/>
  <c r="V85" i="57"/>
  <c r="J85" i="43" s="1"/>
  <c r="V116" i="57"/>
  <c r="J116" i="43"/>
  <c r="V87" i="57"/>
  <c r="J87" i="43" s="1"/>
  <c r="V88" i="57"/>
  <c r="J88" i="43" s="1"/>
  <c r="L88" i="43" s="1"/>
  <c r="V86" i="57"/>
  <c r="J86" i="43" s="1"/>
  <c r="V115" i="57"/>
  <c r="J115" i="43" s="1"/>
  <c r="V11" i="58"/>
  <c r="I11" i="56" s="1"/>
  <c r="K11" i="56" s="1"/>
  <c r="V10" i="58"/>
  <c r="I10" i="56" s="1"/>
  <c r="K10" i="56" s="1"/>
  <c r="V114" i="57"/>
  <c r="J114" i="43" s="1"/>
  <c r="V111" i="57"/>
  <c r="J111" i="43" s="1"/>
  <c r="V89" i="57"/>
  <c r="J89" i="43" s="1"/>
  <c r="V122" i="57"/>
  <c r="J122" i="43" s="1"/>
  <c r="K122" i="43" s="1"/>
  <c r="V5" i="58"/>
  <c r="I5" i="56" s="1"/>
  <c r="K5" i="56" s="1"/>
  <c r="V6" i="58"/>
  <c r="I6" i="56" s="1"/>
  <c r="V5" i="57"/>
  <c r="J5" i="43" s="1"/>
  <c r="V16" i="58"/>
  <c r="I16" i="56" s="1"/>
  <c r="V9" i="58"/>
  <c r="I9" i="56" s="1"/>
  <c r="K9" i="56" s="1"/>
  <c r="V8" i="58"/>
  <c r="I8" i="56" s="1"/>
  <c r="V59" i="57"/>
  <c r="J59" i="43" s="1"/>
  <c r="L59" i="43" s="1"/>
  <c r="V62" i="57"/>
  <c r="J62" i="43" s="1"/>
  <c r="L62" i="43" s="1"/>
  <c r="V61" i="57"/>
  <c r="J61" i="43" s="1"/>
  <c r="V63" i="57"/>
  <c r="J63" i="43" s="1"/>
  <c r="K63" i="43" s="1"/>
  <c r="V126" i="57"/>
  <c r="J126" i="43" s="1"/>
  <c r="L126" i="43" s="1"/>
  <c r="V60" i="57"/>
  <c r="J60" i="43" s="1"/>
  <c r="V57" i="57"/>
  <c r="J57" i="43" s="1"/>
  <c r="V6" i="57"/>
  <c r="J6" i="43" s="1"/>
  <c r="V55" i="57"/>
  <c r="J55" i="43" s="1"/>
  <c r="K55" i="43" s="1"/>
  <c r="V58" i="57"/>
  <c r="J58" i="43" s="1"/>
  <c r="K58" i="43" s="1"/>
  <c r="V64" i="57"/>
  <c r="J64" i="43" s="1"/>
  <c r="I126" i="43"/>
  <c r="Q87" i="43"/>
  <c r="V87" i="43" s="1"/>
  <c r="Q86" i="43"/>
  <c r="V86" i="43" s="1"/>
  <c r="Y86" i="43" s="1"/>
  <c r="Q88" i="43"/>
  <c r="Q115" i="43"/>
  <c r="Q89" i="43"/>
  <c r="Q112" i="43"/>
  <c r="Q84" i="43"/>
  <c r="Q85" i="43"/>
  <c r="V85" i="43" s="1"/>
  <c r="H6" i="56"/>
  <c r="H5" i="56"/>
  <c r="I6" i="43"/>
  <c r="H10" i="56"/>
  <c r="H9" i="56"/>
  <c r="H8" i="56"/>
  <c r="M8" i="56" s="1"/>
  <c r="I64" i="43"/>
  <c r="I63" i="43"/>
  <c r="I62" i="43"/>
  <c r="I61" i="43"/>
  <c r="I60" i="43"/>
  <c r="I59" i="43"/>
  <c r="I58" i="43"/>
  <c r="I57" i="43"/>
  <c r="I56" i="43"/>
  <c r="N56" i="43" s="1"/>
  <c r="I55" i="43"/>
  <c r="N52" i="43"/>
  <c r="N48" i="43"/>
  <c r="N44" i="43"/>
  <c r="N43" i="43"/>
  <c r="N40" i="43"/>
  <c r="N39" i="43"/>
  <c r="N38" i="43"/>
  <c r="N36" i="43"/>
  <c r="N29" i="43"/>
  <c r="N28" i="43"/>
  <c r="N26" i="43"/>
  <c r="N24" i="43"/>
  <c r="N16" i="43"/>
  <c r="N12" i="43"/>
  <c r="N10" i="43"/>
  <c r="H11" i="56"/>
  <c r="N13" i="55"/>
  <c r="H14" i="56"/>
  <c r="H13" i="56"/>
  <c r="I66" i="43"/>
  <c r="N66" i="43" s="1"/>
  <c r="N14" i="55"/>
  <c r="H20" i="56"/>
  <c r="H19" i="56"/>
  <c r="H18" i="56"/>
  <c r="H17" i="56"/>
  <c r="H16" i="56"/>
  <c r="M16" i="56" s="1"/>
  <c r="I116" i="43"/>
  <c r="N101" i="43"/>
  <c r="N100" i="43"/>
  <c r="N97" i="43"/>
  <c r="I92" i="43"/>
  <c r="H22" i="56"/>
  <c r="I122" i="43"/>
  <c r="L122" i="43" s="1"/>
  <c r="I118" i="43"/>
  <c r="H26" i="56"/>
  <c r="M26" i="56" s="1"/>
  <c r="I129" i="43"/>
  <c r="H24" i="56"/>
  <c r="I125" i="43"/>
  <c r="N125" i="43" s="1"/>
  <c r="I124" i="43"/>
  <c r="N124" i="43" s="1"/>
  <c r="N126" i="43"/>
  <c r="Q113" i="43"/>
  <c r="V113" i="43" s="1"/>
  <c r="Q111" i="43"/>
  <c r="V111" i="43" s="1"/>
  <c r="Q114" i="43"/>
  <c r="V114" i="43" s="1"/>
  <c r="Q90" i="43"/>
  <c r="V90" i="43"/>
  <c r="Q126" i="43"/>
  <c r="M24" i="56"/>
  <c r="N122" i="43"/>
  <c r="M22" i="56"/>
  <c r="N93" i="43"/>
  <c r="N94" i="43"/>
  <c r="N98" i="43"/>
  <c r="N102" i="43"/>
  <c r="N103" i="43"/>
  <c r="N104" i="43"/>
  <c r="N116" i="43"/>
  <c r="J17" i="56"/>
  <c r="M19" i="56"/>
  <c r="M20" i="56"/>
  <c r="N9" i="43"/>
  <c r="N11" i="43"/>
  <c r="N17" i="43"/>
  <c r="N18" i="43"/>
  <c r="N19" i="43"/>
  <c r="N20" i="43"/>
  <c r="N22" i="43"/>
  <c r="N23" i="43"/>
  <c r="N30" i="43"/>
  <c r="N31" i="43"/>
  <c r="N32" i="43"/>
  <c r="N34" i="43"/>
  <c r="N35" i="43"/>
  <c r="N41" i="43"/>
  <c r="N42" i="43"/>
  <c r="N46" i="43"/>
  <c r="N47" i="43"/>
  <c r="N51" i="43"/>
  <c r="N53" i="43"/>
  <c r="N54" i="43"/>
  <c r="N55" i="43"/>
  <c r="N58" i="43"/>
  <c r="N59" i="43"/>
  <c r="N62" i="43"/>
  <c r="N63" i="43"/>
  <c r="N64" i="43"/>
  <c r="M10" i="56"/>
  <c r="N5" i="43"/>
  <c r="M5" i="56"/>
  <c r="M6" i="56"/>
  <c r="P10" i="56"/>
  <c r="U10" i="56" s="1"/>
  <c r="X10" i="56" s="1"/>
  <c r="P11" i="56"/>
  <c r="U11" i="56" s="1"/>
  <c r="X11" i="56" s="1"/>
  <c r="Q116" i="43"/>
  <c r="V116" i="43" s="1"/>
  <c r="Y116" i="43" s="1"/>
  <c r="Q58" i="43"/>
  <c r="Q62" i="43"/>
  <c r="Q64" i="43"/>
  <c r="V64" i="43"/>
  <c r="W64" i="43" s="1"/>
  <c r="Q60" i="43"/>
  <c r="V60" i="43" s="1"/>
  <c r="W60" i="43" s="1"/>
  <c r="Q56" i="43"/>
  <c r="P5" i="56"/>
  <c r="U5" i="56" s="1"/>
  <c r="X5" i="56" s="1"/>
  <c r="Q61" i="43"/>
  <c r="Q57" i="43"/>
  <c r="V57" i="43" s="1"/>
  <c r="Q63" i="43"/>
  <c r="Q59" i="43"/>
  <c r="Q55" i="43"/>
  <c r="P6" i="56"/>
  <c r="U6" i="56" s="1"/>
  <c r="P8" i="56"/>
  <c r="U8" i="56" s="1"/>
  <c r="X8" i="56" s="1"/>
  <c r="P9" i="56"/>
  <c r="U9" i="56" s="1"/>
  <c r="X9" i="56" s="1"/>
  <c r="Q122" i="43"/>
  <c r="P16" i="56"/>
  <c r="U16" i="56" s="1"/>
  <c r="Q6" i="43"/>
  <c r="Q5" i="43"/>
  <c r="U20" i="56"/>
  <c r="V20" i="56" s="1"/>
  <c r="U19" i="56"/>
  <c r="X19" i="56" s="1"/>
  <c r="U22" i="56"/>
  <c r="X22" i="56" s="1"/>
  <c r="U26" i="56"/>
  <c r="X26" i="56" s="1"/>
  <c r="U24" i="56"/>
  <c r="X24" i="56" s="1"/>
  <c r="AF39" i="46" l="1"/>
  <c r="AF95" i="46"/>
  <c r="V42" i="46"/>
  <c r="W42" i="46" s="1"/>
  <c r="AB19" i="46"/>
  <c r="AB55" i="46"/>
  <c r="AH15" i="46"/>
  <c r="AF49" i="46"/>
  <c r="AI58" i="46"/>
  <c r="AJ58" i="46" s="1"/>
  <c r="AM66" i="46"/>
  <c r="AO66" i="46" s="1"/>
  <c r="AP66" i="46" s="1"/>
  <c r="AF11" i="46"/>
  <c r="AF37" i="46"/>
  <c r="AF15" i="46"/>
  <c r="AB32" i="46"/>
  <c r="V95" i="46"/>
  <c r="W95" i="46" s="1"/>
  <c r="AF99" i="46"/>
  <c r="AI51" i="46"/>
  <c r="AJ51" i="46" s="1"/>
  <c r="AF7" i="46"/>
  <c r="AI32" i="46"/>
  <c r="AJ32" i="46" s="1"/>
  <c r="AF42" i="46"/>
  <c r="AF94" i="46"/>
  <c r="R58" i="46"/>
  <c r="S58" i="46"/>
  <c r="U71" i="46"/>
  <c r="T71" i="46"/>
  <c r="R44" i="46"/>
  <c r="S44" i="46"/>
  <c r="R96" i="46"/>
  <c r="S96" i="46"/>
  <c r="AF47" i="46"/>
  <c r="R53" i="46"/>
  <c r="S53" i="46"/>
  <c r="R56" i="46"/>
  <c r="S56" i="46"/>
  <c r="AF72" i="46"/>
  <c r="V93" i="46"/>
  <c r="W93" i="46" s="1"/>
  <c r="S93" i="46"/>
  <c r="R36" i="46"/>
  <c r="S36" i="46"/>
  <c r="AF82" i="46"/>
  <c r="AH99" i="46"/>
  <c r="AM99" i="46" s="1"/>
  <c r="AO99" i="46" s="1"/>
  <c r="AP99" i="46" s="1"/>
  <c r="R90" i="46"/>
  <c r="S90" i="46"/>
  <c r="R87" i="46"/>
  <c r="S87" i="46"/>
  <c r="T91" i="46"/>
  <c r="U91" i="46"/>
  <c r="V76" i="46"/>
  <c r="W76" i="46" s="1"/>
  <c r="S76" i="46"/>
  <c r="AF17" i="46"/>
  <c r="V27" i="46"/>
  <c r="W27" i="46" s="1"/>
  <c r="S27" i="46"/>
  <c r="AF66" i="46"/>
  <c r="S95" i="46"/>
  <c r="S72" i="46"/>
  <c r="S94" i="46"/>
  <c r="S19" i="46"/>
  <c r="S69" i="46"/>
  <c r="S17" i="46"/>
  <c r="S40" i="46"/>
  <c r="S39" i="46"/>
  <c r="S38" i="46"/>
  <c r="S37" i="46"/>
  <c r="S11" i="46"/>
  <c r="S60" i="46"/>
  <c r="S99" i="46"/>
  <c r="S52" i="46"/>
  <c r="S7" i="46"/>
  <c r="S97" i="46"/>
  <c r="S51" i="46"/>
  <c r="S49" i="46"/>
  <c r="S47" i="46"/>
  <c r="S42" i="46"/>
  <c r="S82" i="46"/>
  <c r="S41" i="46"/>
  <c r="S32" i="46"/>
  <c r="S77" i="46"/>
  <c r="S29" i="46"/>
  <c r="S28" i="46"/>
  <c r="S66" i="46"/>
  <c r="S55" i="46"/>
  <c r="S9" i="46"/>
  <c r="S100" i="46"/>
  <c r="Z100" i="46" s="1"/>
  <c r="AQ100" i="46" s="1"/>
  <c r="S68" i="46"/>
  <c r="S16" i="46"/>
  <c r="S15" i="46"/>
  <c r="S22" i="46"/>
  <c r="S21" i="46"/>
  <c r="S34" i="46"/>
  <c r="S35" i="46"/>
  <c r="S33" i="46"/>
  <c r="U18" i="46"/>
  <c r="T18" i="46"/>
  <c r="R24" i="46"/>
  <c r="S24" i="46"/>
  <c r="R84" i="46"/>
  <c r="S84" i="46"/>
  <c r="AH95" i="46"/>
  <c r="V92" i="46"/>
  <c r="W92" i="46" s="1"/>
  <c r="S92" i="46"/>
  <c r="V8" i="46"/>
  <c r="W8" i="46" s="1"/>
  <c r="S8" i="46"/>
  <c r="AF77" i="46"/>
  <c r="AI89" i="46"/>
  <c r="AJ89" i="46" s="1"/>
  <c r="T13" i="46"/>
  <c r="U13" i="46"/>
  <c r="R65" i="46"/>
  <c r="S65" i="46"/>
  <c r="Z65" i="46" s="1"/>
  <c r="AQ65" i="46" s="1"/>
  <c r="R45" i="46"/>
  <c r="S45" i="46"/>
  <c r="R78" i="46"/>
  <c r="S78" i="46"/>
  <c r="R23" i="46"/>
  <c r="S23" i="46"/>
  <c r="R61" i="46"/>
  <c r="S61" i="46"/>
  <c r="R54" i="46"/>
  <c r="S54" i="46"/>
  <c r="R83" i="46"/>
  <c r="S83" i="46"/>
  <c r="T14" i="46"/>
  <c r="U14" i="46"/>
  <c r="V46" i="46"/>
  <c r="W46" i="46" s="1"/>
  <c r="S46" i="46"/>
  <c r="R59" i="46"/>
  <c r="S59" i="46"/>
  <c r="R88" i="46"/>
  <c r="S88" i="46"/>
  <c r="T74" i="46"/>
  <c r="U74" i="46"/>
  <c r="R64" i="46"/>
  <c r="S64" i="46"/>
  <c r="R12" i="46"/>
  <c r="S12" i="46"/>
  <c r="AF55" i="46"/>
  <c r="AM100" i="46"/>
  <c r="AO100" i="46" s="1"/>
  <c r="AP100" i="46" s="1"/>
  <c r="R85" i="46"/>
  <c r="S85" i="46"/>
  <c r="AF41" i="46"/>
  <c r="V25" i="46"/>
  <c r="W25" i="46" s="1"/>
  <c r="S25" i="46"/>
  <c r="V48" i="46"/>
  <c r="W48" i="46" s="1"/>
  <c r="S48" i="46"/>
  <c r="V87" i="46"/>
  <c r="W87" i="46" s="1"/>
  <c r="V73" i="46"/>
  <c r="W73" i="46" s="1"/>
  <c r="S73" i="46"/>
  <c r="R98" i="46"/>
  <c r="S98" i="46"/>
  <c r="R43" i="46"/>
  <c r="S43" i="46"/>
  <c r="R62" i="46"/>
  <c r="S62" i="46"/>
  <c r="R79" i="46"/>
  <c r="S79" i="46"/>
  <c r="AF68" i="46"/>
  <c r="AI76" i="46"/>
  <c r="AJ76" i="46" s="1"/>
  <c r="AI71" i="46"/>
  <c r="AJ71" i="46" s="1"/>
  <c r="R80" i="46"/>
  <c r="S80" i="46"/>
  <c r="R89" i="46"/>
  <c r="S89" i="46"/>
  <c r="AF69" i="46"/>
  <c r="R70" i="46"/>
  <c r="S70" i="46"/>
  <c r="AF29" i="46"/>
  <c r="R75" i="46"/>
  <c r="S75" i="46"/>
  <c r="R86" i="46"/>
  <c r="S86" i="46"/>
  <c r="U10" i="46"/>
  <c r="T10" i="46"/>
  <c r="R20" i="46"/>
  <c r="S20" i="46"/>
  <c r="U30" i="46"/>
  <c r="T30" i="46"/>
  <c r="AF8" i="45"/>
  <c r="AC8" i="45"/>
  <c r="AF43" i="45"/>
  <c r="AC43" i="45"/>
  <c r="AE43" i="45" s="1"/>
  <c r="AF10" i="45"/>
  <c r="AC10" i="45"/>
  <c r="AF56" i="45"/>
  <c r="AC56" i="45"/>
  <c r="AF60" i="45"/>
  <c r="AC60" i="45"/>
  <c r="AC22" i="45"/>
  <c r="AF22" i="45"/>
  <c r="AC24" i="45"/>
  <c r="AE24" i="45" s="1"/>
  <c r="AF24" i="45"/>
  <c r="AI41" i="45"/>
  <c r="AJ41" i="45" s="1"/>
  <c r="AF13" i="45"/>
  <c r="AC13" i="45"/>
  <c r="AF46" i="45"/>
  <c r="AC46" i="45"/>
  <c r="AF17" i="45"/>
  <c r="AC17" i="45"/>
  <c r="AE17" i="45" s="1"/>
  <c r="AF19" i="45"/>
  <c r="AC19" i="45"/>
  <c r="AF20" i="45"/>
  <c r="AC20" i="45"/>
  <c r="AC21" i="45"/>
  <c r="AF21" i="45"/>
  <c r="AC62" i="45"/>
  <c r="AF62" i="45"/>
  <c r="AF32" i="45"/>
  <c r="AC32" i="45"/>
  <c r="AF34" i="45"/>
  <c r="AC34" i="45"/>
  <c r="AE34" i="45" s="1"/>
  <c r="S8" i="45"/>
  <c r="S43" i="45"/>
  <c r="S37" i="45"/>
  <c r="S15" i="45"/>
  <c r="S26" i="45"/>
  <c r="S33" i="45"/>
  <c r="S17" i="45"/>
  <c r="S34" i="45"/>
  <c r="S44" i="45"/>
  <c r="S59" i="45"/>
  <c r="S24" i="45"/>
  <c r="S23" i="45"/>
  <c r="S41" i="45"/>
  <c r="S50" i="45"/>
  <c r="AF14" i="45"/>
  <c r="AC14" i="45"/>
  <c r="AF16" i="45"/>
  <c r="AC16" i="45"/>
  <c r="AF47" i="45"/>
  <c r="AC47" i="45"/>
  <c r="AF18" i="45"/>
  <c r="AC18" i="45"/>
  <c r="V72" i="46"/>
  <c r="W72" i="46" s="1"/>
  <c r="V65" i="46"/>
  <c r="W65" i="46" s="1"/>
  <c r="V23" i="46"/>
  <c r="W23" i="46" s="1"/>
  <c r="AH68" i="46"/>
  <c r="V44" i="46"/>
  <c r="W44" i="46" s="1"/>
  <c r="AF19" i="46"/>
  <c r="AH69" i="46"/>
  <c r="AI74" i="46"/>
  <c r="AJ74" i="46" s="1"/>
  <c r="AH77" i="46"/>
  <c r="AH16" i="46"/>
  <c r="V60" i="46"/>
  <c r="W60" i="46" s="1"/>
  <c r="V36" i="46"/>
  <c r="W36" i="46" s="1"/>
  <c r="AI53" i="46"/>
  <c r="AJ53" i="46" s="1"/>
  <c r="AH82" i="46"/>
  <c r="AF32" i="46"/>
  <c r="AH42" i="46"/>
  <c r="AI56" i="46"/>
  <c r="AJ56" i="46" s="1"/>
  <c r="AH49" i="46"/>
  <c r="AI70" i="46"/>
  <c r="AJ70" i="46" s="1"/>
  <c r="AH55" i="46"/>
  <c r="V53" i="46"/>
  <c r="W53" i="46" s="1"/>
  <c r="R100" i="46"/>
  <c r="AH7" i="46"/>
  <c r="V52" i="46"/>
  <c r="W52" i="46" s="1"/>
  <c r="V29" i="46"/>
  <c r="W29" i="46" s="1"/>
  <c r="AD19" i="46"/>
  <c r="AI73" i="46"/>
  <c r="AJ73" i="46" s="1"/>
  <c r="AH40" i="46"/>
  <c r="AM51" i="46"/>
  <c r="AO51" i="46" s="1"/>
  <c r="AP51" i="46" s="1"/>
  <c r="AD44" i="46"/>
  <c r="AI44" i="46" s="1"/>
  <c r="AJ44" i="46" s="1"/>
  <c r="AH47" i="46"/>
  <c r="V89" i="46"/>
  <c r="W89" i="46" s="1"/>
  <c r="AH41" i="46"/>
  <c r="AI64" i="46"/>
  <c r="AJ64" i="46" s="1"/>
  <c r="AH9" i="46"/>
  <c r="AH19" i="46"/>
  <c r="AB69" i="46"/>
  <c r="AH29" i="46"/>
  <c r="AH72" i="46"/>
  <c r="AM72" i="46" s="1"/>
  <c r="AO72" i="46" s="1"/>
  <c r="AP72" i="46" s="1"/>
  <c r="AI25" i="46"/>
  <c r="AJ25" i="46" s="1"/>
  <c r="AH97" i="46"/>
  <c r="AH39" i="46"/>
  <c r="AH94" i="46"/>
  <c r="V54" i="46"/>
  <c r="W54" i="46" s="1"/>
  <c r="AH11" i="46"/>
  <c r="R8" i="46"/>
  <c r="AI75" i="46"/>
  <c r="AJ75" i="46" s="1"/>
  <c r="AC87" i="46"/>
  <c r="AC88" i="46"/>
  <c r="AI24" i="46"/>
  <c r="AJ24" i="46" s="1"/>
  <c r="AD42" i="46"/>
  <c r="L55" i="43"/>
  <c r="J20" i="56"/>
  <c r="H42" i="45"/>
  <c r="H9" i="45"/>
  <c r="M9" i="45" s="1"/>
  <c r="X9" i="45" s="1"/>
  <c r="F54" i="45"/>
  <c r="G42" i="45"/>
  <c r="F42" i="45" s="1"/>
  <c r="AG60" i="45"/>
  <c r="G45" i="45"/>
  <c r="F45" i="45" s="1"/>
  <c r="G40" i="45"/>
  <c r="F40" i="45" s="1"/>
  <c r="H37" i="45"/>
  <c r="H40" i="45"/>
  <c r="M40" i="45" s="1"/>
  <c r="X40" i="45" s="1"/>
  <c r="G24" i="45"/>
  <c r="F24" i="45" s="1"/>
  <c r="G30" i="45"/>
  <c r="F30" i="45" s="1"/>
  <c r="G31" i="45"/>
  <c r="F31" i="45" s="1"/>
  <c r="F60" i="45"/>
  <c r="H23" i="45"/>
  <c r="AG22" i="45"/>
  <c r="AG24" i="45"/>
  <c r="AH24" i="45" s="1"/>
  <c r="AM24" i="45" s="1"/>
  <c r="AO24" i="45" s="1"/>
  <c r="AG34" i="45"/>
  <c r="AH34" i="45" s="1"/>
  <c r="AG36" i="45"/>
  <c r="AG43" i="45"/>
  <c r="AH43" i="45" s="1"/>
  <c r="AM43" i="45" s="1"/>
  <c r="AO43" i="45" s="1"/>
  <c r="AP43" i="45" s="1"/>
  <c r="AG44" i="45"/>
  <c r="AH44" i="45" s="1"/>
  <c r="AM44" i="45" s="1"/>
  <c r="AO44" i="45" s="1"/>
  <c r="AP44" i="45" s="1"/>
  <c r="AG8" i="45"/>
  <c r="AG45" i="45"/>
  <c r="AG10" i="45"/>
  <c r="AG46" i="45"/>
  <c r="AG13" i="45"/>
  <c r="AG47" i="45"/>
  <c r="AG33" i="45"/>
  <c r="AG38" i="45"/>
  <c r="AG16" i="45"/>
  <c r="AG17" i="45"/>
  <c r="AG18" i="45"/>
  <c r="AG19" i="45"/>
  <c r="AG20" i="45"/>
  <c r="AG61" i="45"/>
  <c r="AG14" i="45"/>
  <c r="AG21" i="45"/>
  <c r="AG62" i="45"/>
  <c r="G8" i="45"/>
  <c r="F8" i="45" s="1"/>
  <c r="AF61" i="45"/>
  <c r="AF33" i="45"/>
  <c r="G10" i="45"/>
  <c r="F10" i="45" s="1"/>
  <c r="AE8" i="45"/>
  <c r="G13" i="45"/>
  <c r="F13" i="45" s="1"/>
  <c r="G22" i="45"/>
  <c r="F22" i="45" s="1"/>
  <c r="G26" i="45"/>
  <c r="F26" i="45" s="1"/>
  <c r="H22" i="45"/>
  <c r="F55" i="45"/>
  <c r="F56" i="45"/>
  <c r="AF30" i="45"/>
  <c r="F58" i="45"/>
  <c r="AF38" i="45"/>
  <c r="AF31" i="45"/>
  <c r="AF45" i="45"/>
  <c r="G32" i="45"/>
  <c r="F32" i="45" s="1"/>
  <c r="G33" i="45"/>
  <c r="F33" i="45" s="1"/>
  <c r="AG54" i="45"/>
  <c r="AG55" i="45"/>
  <c r="G34" i="45"/>
  <c r="F34" i="45" s="1"/>
  <c r="AG26" i="45"/>
  <c r="AH26" i="45" s="1"/>
  <c r="AG56" i="45"/>
  <c r="G46" i="45"/>
  <c r="F46" i="45" s="1"/>
  <c r="AG30" i="45"/>
  <c r="AG58" i="45"/>
  <c r="G47" i="45"/>
  <c r="F47" i="45" s="1"/>
  <c r="AG31" i="45"/>
  <c r="O9" i="51"/>
  <c r="C4" i="51" s="1"/>
  <c r="K4" i="51" s="1"/>
  <c r="AG32" i="45"/>
  <c r="O153" i="14"/>
  <c r="N153" i="14"/>
  <c r="N165" i="14"/>
  <c r="O165" i="14"/>
  <c r="K132" i="14"/>
  <c r="O104" i="14"/>
  <c r="N104" i="14"/>
  <c r="N150" i="14"/>
  <c r="O150" i="14"/>
  <c r="N111" i="14"/>
  <c r="K139" i="14"/>
  <c r="O139" i="14" s="1"/>
  <c r="O111" i="14"/>
  <c r="K124" i="14"/>
  <c r="O96" i="14"/>
  <c r="N96" i="14"/>
  <c r="K112" i="14"/>
  <c r="O97" i="14"/>
  <c r="K136" i="14"/>
  <c r="K126" i="14"/>
  <c r="K92" i="14"/>
  <c r="N98" i="14"/>
  <c r="O64" i="14"/>
  <c r="O100" i="14"/>
  <c r="O157" i="14"/>
  <c r="N70" i="14"/>
  <c r="N125" i="14"/>
  <c r="N84" i="14"/>
  <c r="O70" i="14"/>
  <c r="O125" i="14"/>
  <c r="N103" i="14"/>
  <c r="K131" i="14"/>
  <c r="O122" i="14"/>
  <c r="N68" i="14"/>
  <c r="O137" i="14"/>
  <c r="O68" i="14"/>
  <c r="N137" i="14"/>
  <c r="N76" i="14"/>
  <c r="N108" i="14"/>
  <c r="O76" i="14"/>
  <c r="N66" i="14"/>
  <c r="O66" i="14"/>
  <c r="I19" i="57"/>
  <c r="J19" i="57" s="1"/>
  <c r="I25" i="57"/>
  <c r="J25" i="57" s="1"/>
  <c r="I29" i="57"/>
  <c r="J29" i="57" s="1"/>
  <c r="I31" i="57"/>
  <c r="J31" i="57" s="1"/>
  <c r="I33" i="57"/>
  <c r="J33" i="57" s="1"/>
  <c r="I50" i="57"/>
  <c r="J50" i="57" s="1"/>
  <c r="I71" i="57"/>
  <c r="J71" i="57" s="1"/>
  <c r="I55" i="57"/>
  <c r="J55" i="57" s="1"/>
  <c r="I24" i="57"/>
  <c r="J24" i="57" s="1"/>
  <c r="I48" i="57"/>
  <c r="J48" i="57" s="1"/>
  <c r="I57" i="57"/>
  <c r="J57" i="57" s="1"/>
  <c r="I70" i="57"/>
  <c r="J70" i="57" s="1"/>
  <c r="J5" i="56"/>
  <c r="I58" i="57"/>
  <c r="J58" i="57" s="1"/>
  <c r="I80" i="57"/>
  <c r="J80" i="57" s="1"/>
  <c r="I62" i="57"/>
  <c r="J62" i="57" s="1"/>
  <c r="I76" i="57"/>
  <c r="J76" i="57" s="1"/>
  <c r="I100" i="57"/>
  <c r="J100" i="57" s="1"/>
  <c r="I79" i="57"/>
  <c r="J79" i="57" s="1"/>
  <c r="I101" i="57"/>
  <c r="J101" i="57" s="1"/>
  <c r="K101" i="57" s="1"/>
  <c r="R101" i="57" s="1"/>
  <c r="I104" i="57"/>
  <c r="J104" i="57" s="1"/>
  <c r="I122" i="57"/>
  <c r="J122" i="57" s="1"/>
  <c r="I125" i="57"/>
  <c r="J125" i="57" s="1"/>
  <c r="I121" i="57"/>
  <c r="J121" i="57" s="1"/>
  <c r="G89" i="57"/>
  <c r="H89" i="57" s="1"/>
  <c r="G21" i="57"/>
  <c r="G26" i="57"/>
  <c r="H26" i="57" s="1"/>
  <c r="G75" i="57"/>
  <c r="H75" i="57" s="1"/>
  <c r="L5" i="43"/>
  <c r="K5" i="43"/>
  <c r="G44" i="57"/>
  <c r="H44" i="57" s="1"/>
  <c r="G77" i="57"/>
  <c r="H77" i="57" s="1"/>
  <c r="G36" i="45"/>
  <c r="F36" i="45" s="1"/>
  <c r="F61" i="45"/>
  <c r="G45" i="57"/>
  <c r="G67" i="57"/>
  <c r="H67" i="57" s="1"/>
  <c r="G33" i="57"/>
  <c r="H33" i="57" s="1"/>
  <c r="K24" i="58"/>
  <c r="O24" i="58" s="1"/>
  <c r="J9" i="56"/>
  <c r="G38" i="45"/>
  <c r="F38" i="45" s="1"/>
  <c r="F62" i="45"/>
  <c r="G51" i="57"/>
  <c r="H51" i="57" s="1"/>
  <c r="H63" i="57"/>
  <c r="G50" i="57"/>
  <c r="H50" i="57" s="1"/>
  <c r="G14" i="45"/>
  <c r="F14" i="45" s="1"/>
  <c r="L4" i="46"/>
  <c r="G56" i="57"/>
  <c r="H56" i="57" s="1"/>
  <c r="G81" i="57"/>
  <c r="H81" i="57" s="1"/>
  <c r="L84" i="43"/>
  <c r="G16" i="45"/>
  <c r="F16" i="45" s="1"/>
  <c r="G120" i="57"/>
  <c r="H101" i="57"/>
  <c r="V22" i="56"/>
  <c r="Y22" i="56" s="1"/>
  <c r="Z23" i="56" s="1"/>
  <c r="G17" i="45"/>
  <c r="F17" i="45" s="1"/>
  <c r="G41" i="45"/>
  <c r="F41" i="45" s="1"/>
  <c r="G57" i="57"/>
  <c r="H57" i="57" s="1"/>
  <c r="G119" i="57"/>
  <c r="H119" i="57" s="1"/>
  <c r="V58" i="43"/>
  <c r="Y58" i="43" s="1"/>
  <c r="H22" i="58"/>
  <c r="X20" i="56"/>
  <c r="Y20" i="56" s="1"/>
  <c r="K62" i="43"/>
  <c r="G43" i="45"/>
  <c r="F43" i="45" s="1"/>
  <c r="G62" i="57"/>
  <c r="V59" i="43"/>
  <c r="W59" i="43" s="1"/>
  <c r="V11" i="56"/>
  <c r="Y11" i="56" s="1"/>
  <c r="G18" i="45"/>
  <c r="F18" i="45" s="1"/>
  <c r="G63" i="57"/>
  <c r="G19" i="45"/>
  <c r="F19" i="45" s="1"/>
  <c r="G44" i="45"/>
  <c r="F44" i="45" s="1"/>
  <c r="G94" i="57"/>
  <c r="G74" i="57"/>
  <c r="H74" i="57" s="1"/>
  <c r="G114" i="57"/>
  <c r="H114" i="57" s="1"/>
  <c r="G20" i="45"/>
  <c r="F20" i="45" s="1"/>
  <c r="G7" i="57"/>
  <c r="G95" i="57"/>
  <c r="G112" i="57"/>
  <c r="H112" i="57" s="1"/>
  <c r="V62" i="43"/>
  <c r="Y62" i="43" s="1"/>
  <c r="G15" i="57"/>
  <c r="G118" i="57"/>
  <c r="H118" i="57" s="1"/>
  <c r="G107" i="57"/>
  <c r="H107" i="57" s="1"/>
  <c r="K83" i="57"/>
  <c r="R83" i="57" s="1"/>
  <c r="G20" i="57"/>
  <c r="H20" i="57" s="1"/>
  <c r="G124" i="57"/>
  <c r="H124" i="57" s="1"/>
  <c r="G106" i="57"/>
  <c r="H106" i="57" s="1"/>
  <c r="H27" i="57"/>
  <c r="G88" i="57"/>
  <c r="H88" i="57" s="1"/>
  <c r="G27" i="57"/>
  <c r="G83" i="57"/>
  <c r="H83" i="57" s="1"/>
  <c r="G32" i="57"/>
  <c r="H32" i="57" s="1"/>
  <c r="G70" i="57"/>
  <c r="H70" i="57" s="1"/>
  <c r="H120" i="57"/>
  <c r="G38" i="57"/>
  <c r="H38" i="57" s="1"/>
  <c r="G39" i="57"/>
  <c r="G90" i="57"/>
  <c r="H90" i="57" s="1"/>
  <c r="G21" i="45"/>
  <c r="F21" i="45" s="1"/>
  <c r="G9" i="57"/>
  <c r="H9" i="57" s="1"/>
  <c r="G100" i="57"/>
  <c r="H100" i="57" s="1"/>
  <c r="G85" i="57"/>
  <c r="H85" i="57" s="1"/>
  <c r="G111" i="57"/>
  <c r="H7" i="57"/>
  <c r="V56" i="43"/>
  <c r="Y56" i="43" s="1"/>
  <c r="V6" i="43"/>
  <c r="W6" i="43" s="1"/>
  <c r="AI100" i="46"/>
  <c r="AJ100" i="46" s="1"/>
  <c r="V85" i="46"/>
  <c r="W85" i="46" s="1"/>
  <c r="V70" i="46"/>
  <c r="W70" i="46" s="1"/>
  <c r="V80" i="46"/>
  <c r="W80" i="46" s="1"/>
  <c r="AI66" i="46"/>
  <c r="AJ66" i="46" s="1"/>
  <c r="V66" i="46"/>
  <c r="W66" i="46" s="1"/>
  <c r="V59" i="46"/>
  <c r="W59" i="46" s="1"/>
  <c r="V58" i="46"/>
  <c r="W58" i="46" s="1"/>
  <c r="V56" i="46"/>
  <c r="W56" i="46" s="1"/>
  <c r="V38" i="46"/>
  <c r="W38" i="46" s="1"/>
  <c r="V49" i="46"/>
  <c r="W49" i="46" s="1"/>
  <c r="AM32" i="46"/>
  <c r="AO32" i="46" s="1"/>
  <c r="AP32" i="46" s="1"/>
  <c r="V39" i="46"/>
  <c r="W39" i="46" s="1"/>
  <c r="V37" i="46"/>
  <c r="W37" i="46" s="1"/>
  <c r="V47" i="46"/>
  <c r="W47" i="46" s="1"/>
  <c r="V17" i="46"/>
  <c r="W17" i="46" s="1"/>
  <c r="V12" i="46"/>
  <c r="W12" i="46" s="1"/>
  <c r="P66" i="45"/>
  <c r="AN5" i="73" s="1"/>
  <c r="V84" i="43"/>
  <c r="W84" i="43" s="1"/>
  <c r="V112" i="43"/>
  <c r="W112" i="43" s="1"/>
  <c r="V61" i="43"/>
  <c r="W61" i="43" s="1"/>
  <c r="V89" i="43"/>
  <c r="W89" i="43" s="1"/>
  <c r="V126" i="43"/>
  <c r="W126" i="43" s="1"/>
  <c r="V5" i="43"/>
  <c r="W5" i="43" s="1"/>
  <c r="V122" i="43"/>
  <c r="W122" i="43" s="1"/>
  <c r="V55" i="43"/>
  <c r="W55" i="43" s="1"/>
  <c r="V63" i="43"/>
  <c r="Y63" i="43" s="1"/>
  <c r="V115" i="43"/>
  <c r="V88" i="43"/>
  <c r="Y88" i="43" s="1"/>
  <c r="K11" i="51"/>
  <c r="V88" i="46"/>
  <c r="W88" i="46" s="1"/>
  <c r="W100" i="46"/>
  <c r="V82" i="46"/>
  <c r="W82" i="46" s="1"/>
  <c r="V94" i="46"/>
  <c r="W94" i="46" s="1"/>
  <c r="V79" i="46"/>
  <c r="W79" i="46" s="1"/>
  <c r="V69" i="46"/>
  <c r="W69" i="46" s="1"/>
  <c r="V64" i="46"/>
  <c r="W64" i="46" s="1"/>
  <c r="V61" i="46"/>
  <c r="W61" i="46" s="1"/>
  <c r="V55" i="46"/>
  <c r="W55" i="46" s="1"/>
  <c r="R55" i="46"/>
  <c r="V51" i="46"/>
  <c r="W51" i="46" s="1"/>
  <c r="V43" i="46"/>
  <c r="W43" i="46" s="1"/>
  <c r="V28" i="46"/>
  <c r="W28" i="46" s="1"/>
  <c r="W16" i="46"/>
  <c r="V21" i="46"/>
  <c r="W21" i="46" s="1"/>
  <c r="V20" i="46"/>
  <c r="W20" i="46" s="1"/>
  <c r="R15" i="46"/>
  <c r="V15" i="46"/>
  <c r="W15" i="46" s="1"/>
  <c r="M24" i="58"/>
  <c r="X13" i="56"/>
  <c r="V13" i="56"/>
  <c r="W57" i="43"/>
  <c r="Y57" i="43"/>
  <c r="X14" i="56"/>
  <c r="V14" i="56"/>
  <c r="K120" i="57"/>
  <c r="L120" i="57" s="1"/>
  <c r="I8" i="58"/>
  <c r="J8" i="58" s="1"/>
  <c r="K8" i="58" s="1"/>
  <c r="I36" i="57"/>
  <c r="J36" i="57" s="1"/>
  <c r="I111" i="57"/>
  <c r="J111" i="57" s="1"/>
  <c r="K88" i="43"/>
  <c r="I6" i="57"/>
  <c r="I39" i="57"/>
  <c r="J39" i="57" s="1"/>
  <c r="I66" i="57"/>
  <c r="J66" i="57" s="1"/>
  <c r="I90" i="57"/>
  <c r="J90" i="57" s="1"/>
  <c r="K90" i="57" s="1"/>
  <c r="I108" i="57"/>
  <c r="J108" i="57" s="1"/>
  <c r="K108" i="57" s="1"/>
  <c r="J14" i="56"/>
  <c r="I5" i="57"/>
  <c r="J5" i="57" s="1"/>
  <c r="I67" i="57"/>
  <c r="J67" i="57" s="1"/>
  <c r="I14" i="58"/>
  <c r="J14" i="58" s="1"/>
  <c r="K14" i="58" s="1"/>
  <c r="I10" i="57"/>
  <c r="J10" i="57" s="1"/>
  <c r="I40" i="57"/>
  <c r="J40" i="57" s="1"/>
  <c r="I93" i="57"/>
  <c r="J93" i="57" s="1"/>
  <c r="I106" i="57"/>
  <c r="J106" i="57" s="1"/>
  <c r="V19" i="56"/>
  <c r="Y19" i="56" s="1"/>
  <c r="K22" i="56"/>
  <c r="L116" i="43"/>
  <c r="I64" i="57"/>
  <c r="J64" i="57" s="1"/>
  <c r="V5" i="56"/>
  <c r="Y5" i="56" s="1"/>
  <c r="J24" i="56"/>
  <c r="I19" i="58"/>
  <c r="J19" i="58" s="1"/>
  <c r="I12" i="57"/>
  <c r="J12" i="57" s="1"/>
  <c r="I41" i="57"/>
  <c r="J41" i="57" s="1"/>
  <c r="I94" i="57"/>
  <c r="J94" i="57" s="1"/>
  <c r="I86" i="57"/>
  <c r="J86" i="57" s="1"/>
  <c r="L60" i="43"/>
  <c r="L63" i="43"/>
  <c r="J19" i="56"/>
  <c r="I14" i="57"/>
  <c r="J14" i="57" s="1"/>
  <c r="I42" i="57"/>
  <c r="J42" i="57" s="1"/>
  <c r="I96" i="57"/>
  <c r="J96" i="57" s="1"/>
  <c r="I73" i="57"/>
  <c r="J73" i="57" s="1"/>
  <c r="I16" i="57"/>
  <c r="J16" i="57" s="1"/>
  <c r="I45" i="57"/>
  <c r="J45" i="57" s="1"/>
  <c r="I98" i="57"/>
  <c r="J98" i="57" s="1"/>
  <c r="V40" i="46"/>
  <c r="W40" i="46" s="1"/>
  <c r="V84" i="46"/>
  <c r="W84" i="46" s="1"/>
  <c r="V83" i="46"/>
  <c r="W83" i="46" s="1"/>
  <c r="V96" i="46"/>
  <c r="W96" i="46" s="1"/>
  <c r="V90" i="46"/>
  <c r="W90" i="46" s="1"/>
  <c r="V98" i="46"/>
  <c r="W98" i="46" s="1"/>
  <c r="V86" i="46"/>
  <c r="W86" i="46" s="1"/>
  <c r="V97" i="46"/>
  <c r="W97" i="46" s="1"/>
  <c r="V75" i="46"/>
  <c r="W75" i="46" s="1"/>
  <c r="V78" i="46"/>
  <c r="W78" i="46" s="1"/>
  <c r="V68" i="46"/>
  <c r="W68" i="46" s="1"/>
  <c r="V77" i="46"/>
  <c r="W77" i="46" s="1"/>
  <c r="V62" i="46"/>
  <c r="W62" i="46" s="1"/>
  <c r="L112" i="43"/>
  <c r="K112" i="43"/>
  <c r="P112" i="43" s="1"/>
  <c r="AI52" i="46"/>
  <c r="AJ52" i="46" s="1"/>
  <c r="AM52" i="46"/>
  <c r="AO52" i="46" s="1"/>
  <c r="AP52" i="46" s="1"/>
  <c r="L85" i="43"/>
  <c r="K85" i="43"/>
  <c r="R19" i="46"/>
  <c r="V19" i="46"/>
  <c r="W19" i="46" s="1"/>
  <c r="AL42" i="46"/>
  <c r="AL106" i="46" s="1"/>
  <c r="R71" i="46"/>
  <c r="V71" i="46"/>
  <c r="W71" i="46" s="1"/>
  <c r="K95" i="14"/>
  <c r="O67" i="14"/>
  <c r="N67" i="14"/>
  <c r="X16" i="56"/>
  <c r="V16" i="56"/>
  <c r="M14" i="56"/>
  <c r="N118" i="43"/>
  <c r="N50" i="43"/>
  <c r="K61" i="43"/>
  <c r="A7" i="35"/>
  <c r="A6" i="35"/>
  <c r="A4" i="35"/>
  <c r="H4" i="35" s="1"/>
  <c r="O4" i="49"/>
  <c r="A10" i="35"/>
  <c r="F10" i="35" s="1"/>
  <c r="A9" i="35"/>
  <c r="H9" i="35" s="1"/>
  <c r="A5" i="35"/>
  <c r="H5" i="35" s="1"/>
  <c r="O4" i="51"/>
  <c r="O4" i="34"/>
  <c r="C21" i="34" s="1"/>
  <c r="A13" i="35"/>
  <c r="A12" i="35"/>
  <c r="H12" i="35" s="1"/>
  <c r="O74" i="14"/>
  <c r="K102" i="14"/>
  <c r="N74" i="14"/>
  <c r="K6" i="56"/>
  <c r="J6" i="56"/>
  <c r="W116" i="43"/>
  <c r="Z116" i="43" s="1"/>
  <c r="M13" i="56"/>
  <c r="K13" i="56"/>
  <c r="J13" i="56"/>
  <c r="N15" i="43"/>
  <c r="N27" i="43"/>
  <c r="V24" i="46"/>
  <c r="W24" i="46" s="1"/>
  <c r="R10" i="46"/>
  <c r="V10" i="46"/>
  <c r="W10" i="46" s="1"/>
  <c r="J26" i="56"/>
  <c r="K26" i="56"/>
  <c r="O127" i="14"/>
  <c r="K155" i="14"/>
  <c r="N127" i="14"/>
  <c r="X17" i="56"/>
  <c r="V17" i="56"/>
  <c r="L64" i="43"/>
  <c r="K64" i="43"/>
  <c r="O6" i="51"/>
  <c r="O6" i="49"/>
  <c r="O6" i="34"/>
  <c r="O79" i="14"/>
  <c r="N79" i="14"/>
  <c r="K107" i="14"/>
  <c r="J11" i="56"/>
  <c r="J10" i="56"/>
  <c r="K59" i="43"/>
  <c r="G25" i="62"/>
  <c r="N5" i="61" s="1"/>
  <c r="N6" i="61" s="1"/>
  <c r="K152" i="14"/>
  <c r="N124" i="14"/>
  <c r="O124" i="14"/>
  <c r="K156" i="14"/>
  <c r="N128" i="14"/>
  <c r="O128" i="14"/>
  <c r="N60" i="43"/>
  <c r="K60" i="43"/>
  <c r="V24" i="56"/>
  <c r="Y24" i="56" s="1"/>
  <c r="Z25" i="56" s="1"/>
  <c r="M17" i="56"/>
  <c r="K17" i="56"/>
  <c r="N14" i="43"/>
  <c r="J16" i="56"/>
  <c r="J22" i="56"/>
  <c r="L87" i="43"/>
  <c r="K87" i="43"/>
  <c r="A11" i="35"/>
  <c r="V26" i="56"/>
  <c r="Y26" i="56" s="1"/>
  <c r="Z27" i="56" s="1"/>
  <c r="Y90" i="43"/>
  <c r="W90" i="43"/>
  <c r="N95" i="43"/>
  <c r="J8" i="56"/>
  <c r="K16" i="56"/>
  <c r="AB29" i="46"/>
  <c r="K126" i="43"/>
  <c r="K8" i="56"/>
  <c r="K116" i="43"/>
  <c r="P116" i="43" s="1"/>
  <c r="K121" i="14"/>
  <c r="O93" i="14"/>
  <c r="N93" i="14"/>
  <c r="AC97" i="46"/>
  <c r="AC83" i="46"/>
  <c r="AC59" i="46"/>
  <c r="AC11" i="46"/>
  <c r="AC95" i="46"/>
  <c r="AC80" i="46"/>
  <c r="AC49" i="46"/>
  <c r="AC9" i="46"/>
  <c r="AC94" i="46"/>
  <c r="AC79" i="46"/>
  <c r="AC48" i="46"/>
  <c r="AC8" i="46"/>
  <c r="AC92" i="46"/>
  <c r="AC77" i="46"/>
  <c r="AC46" i="46"/>
  <c r="AC91" i="46"/>
  <c r="AC69" i="46"/>
  <c r="AD69" i="46" s="1"/>
  <c r="AC30" i="46"/>
  <c r="AC85" i="46"/>
  <c r="AC61" i="46"/>
  <c r="AC13" i="46"/>
  <c r="AC82" i="46"/>
  <c r="AD82" i="46" s="1"/>
  <c r="AC10" i="46"/>
  <c r="AC78" i="46"/>
  <c r="AC7" i="46"/>
  <c r="AC68" i="46"/>
  <c r="AC65" i="46"/>
  <c r="AC62" i="46"/>
  <c r="AC96" i="46"/>
  <c r="AC54" i="46"/>
  <c r="AD54" i="46" s="1"/>
  <c r="AI54" i="46" s="1"/>
  <c r="AJ54" i="46" s="1"/>
  <c r="AC93" i="46"/>
  <c r="AC47" i="46"/>
  <c r="AC86" i="46"/>
  <c r="AD86" i="46" s="1"/>
  <c r="AI86" i="46" s="1"/>
  <c r="AJ86" i="46" s="1"/>
  <c r="AC84" i="46"/>
  <c r="AC60" i="46"/>
  <c r="AC29" i="46"/>
  <c r="AD29" i="46" s="1"/>
  <c r="AC12" i="46"/>
  <c r="AD12" i="46" s="1"/>
  <c r="AI12" i="46" s="1"/>
  <c r="AJ12" i="46" s="1"/>
  <c r="R18" i="46"/>
  <c r="V18" i="46"/>
  <c r="W18" i="46" s="1"/>
  <c r="AA96" i="46"/>
  <c r="AA79" i="46"/>
  <c r="AA60" i="46"/>
  <c r="AA20" i="46"/>
  <c r="AD20" i="46" s="1"/>
  <c r="AI20" i="46" s="1"/>
  <c r="AJ20" i="46" s="1"/>
  <c r="AA13" i="46"/>
  <c r="AA95" i="46"/>
  <c r="AA94" i="46"/>
  <c r="AA85" i="46"/>
  <c r="AA77" i="46"/>
  <c r="AA30" i="46"/>
  <c r="AA11" i="46"/>
  <c r="AA93" i="46"/>
  <c r="AA84" i="46"/>
  <c r="AA40" i="46"/>
  <c r="AD40" i="46" s="1"/>
  <c r="AM40" i="46" s="1"/>
  <c r="AO40" i="46" s="1"/>
  <c r="AP40" i="46" s="1"/>
  <c r="AA92" i="46"/>
  <c r="AA68" i="46"/>
  <c r="AA39" i="46"/>
  <c r="AA28" i="46"/>
  <c r="AA17" i="46"/>
  <c r="AA9" i="46"/>
  <c r="AA91" i="46"/>
  <c r="AA80" i="46"/>
  <c r="AA61" i="46"/>
  <c r="AA45" i="46"/>
  <c r="AD45" i="46" s="1"/>
  <c r="AI45" i="46" s="1"/>
  <c r="AJ45" i="46" s="1"/>
  <c r="AA21" i="46"/>
  <c r="AA87" i="46"/>
  <c r="AA65" i="46"/>
  <c r="AA22" i="46"/>
  <c r="AB22" i="46" s="1"/>
  <c r="AA10" i="46"/>
  <c r="AA62" i="46"/>
  <c r="AA8" i="46"/>
  <c r="AA98" i="46"/>
  <c r="AD98" i="46" s="1"/>
  <c r="AI98" i="46" s="1"/>
  <c r="AJ98" i="46" s="1"/>
  <c r="AA59" i="46"/>
  <c r="AA38" i="46"/>
  <c r="AA7" i="46"/>
  <c r="AA97" i="46"/>
  <c r="AA83" i="46"/>
  <c r="AA36" i="46"/>
  <c r="AD36" i="46" s="1"/>
  <c r="AI36" i="46" s="1"/>
  <c r="AJ36" i="46" s="1"/>
  <c r="AA49" i="46"/>
  <c r="AA16" i="46"/>
  <c r="AA46" i="46"/>
  <c r="AA18" i="46"/>
  <c r="AD18" i="46" s="1"/>
  <c r="AI18" i="46" s="1"/>
  <c r="AJ18" i="46" s="1"/>
  <c r="AA15" i="46"/>
  <c r="AA37" i="46"/>
  <c r="AA88" i="46"/>
  <c r="H21" i="45"/>
  <c r="H36" i="45"/>
  <c r="H19" i="45"/>
  <c r="H34" i="45"/>
  <c r="H18" i="45"/>
  <c r="M4" i="46"/>
  <c r="H46" i="45"/>
  <c r="H32" i="45"/>
  <c r="H16" i="45"/>
  <c r="H45" i="45"/>
  <c r="H31" i="45"/>
  <c r="H14" i="45"/>
  <c r="H24" i="45"/>
  <c r="H47" i="45"/>
  <c r="H17" i="45"/>
  <c r="H44" i="45"/>
  <c r="H13" i="45"/>
  <c r="H43" i="45"/>
  <c r="H10" i="45"/>
  <c r="H41" i="45"/>
  <c r="H8" i="45"/>
  <c r="H33" i="45"/>
  <c r="H30" i="45"/>
  <c r="H38" i="45"/>
  <c r="H26" i="45"/>
  <c r="H20" i="45"/>
  <c r="AF55" i="45"/>
  <c r="AF28" i="46"/>
  <c r="AH28" i="46"/>
  <c r="R32" i="46"/>
  <c r="V32" i="46"/>
  <c r="W32" i="46" s="1"/>
  <c r="AH38" i="46"/>
  <c r="AF38" i="46"/>
  <c r="AF40" i="46"/>
  <c r="AB40" i="46"/>
  <c r="R99" i="46"/>
  <c r="V99" i="46"/>
  <c r="W99" i="46" s="1"/>
  <c r="AA14" i="46"/>
  <c r="AD14" i="46" s="1"/>
  <c r="AI14" i="46" s="1"/>
  <c r="AJ14" i="46" s="1"/>
  <c r="AA47" i="46"/>
  <c r="H45" i="57"/>
  <c r="AC27" i="46"/>
  <c r="AA23" i="46"/>
  <c r="AD23" i="46" s="1"/>
  <c r="AI23" i="46" s="1"/>
  <c r="AJ23" i="46" s="1"/>
  <c r="AC28" i="46"/>
  <c r="AA27" i="46"/>
  <c r="AB82" i="46"/>
  <c r="H62" i="57"/>
  <c r="J21" i="48"/>
  <c r="N4" i="63" s="1"/>
  <c r="I22" i="58"/>
  <c r="J22" i="58" s="1"/>
  <c r="I11" i="58"/>
  <c r="J11" i="58" s="1"/>
  <c r="K11" i="58" s="1"/>
  <c r="I20" i="58"/>
  <c r="J20" i="58" s="1"/>
  <c r="K20" i="58" s="1"/>
  <c r="I10" i="58"/>
  <c r="J10" i="58" s="1"/>
  <c r="I9" i="58"/>
  <c r="J9" i="58" s="1"/>
  <c r="K9" i="58" s="1"/>
  <c r="I18" i="58"/>
  <c r="J18" i="58" s="1"/>
  <c r="I6" i="58"/>
  <c r="J6" i="58" s="1"/>
  <c r="K6" i="58" s="1"/>
  <c r="I17" i="58"/>
  <c r="J17" i="58" s="1"/>
  <c r="K17" i="58" s="1"/>
  <c r="I16" i="58"/>
  <c r="J16" i="58" s="1"/>
  <c r="K16" i="58" s="1"/>
  <c r="I5" i="58"/>
  <c r="J5" i="58" s="1"/>
  <c r="K5" i="58" s="1"/>
  <c r="I26" i="58"/>
  <c r="J26" i="58" s="1"/>
  <c r="K26" i="58" s="1"/>
  <c r="I13" i="58"/>
  <c r="J13" i="58" s="1"/>
  <c r="K13" i="58" s="1"/>
  <c r="R13" i="46"/>
  <c r="V13" i="46"/>
  <c r="R30" i="46"/>
  <c r="V30" i="46"/>
  <c r="R11" i="46"/>
  <c r="I127" i="57"/>
  <c r="J127" i="57" s="1"/>
  <c r="I115" i="57"/>
  <c r="J115" i="57" s="1"/>
  <c r="I114" i="57"/>
  <c r="J114" i="57" s="1"/>
  <c r="K114" i="57" s="1"/>
  <c r="I74" i="57"/>
  <c r="J74" i="57" s="1"/>
  <c r="K74" i="57" s="1"/>
  <c r="I99" i="57"/>
  <c r="J99" i="57" s="1"/>
  <c r="I56" i="57"/>
  <c r="J56" i="57" s="1"/>
  <c r="K56" i="57" s="1"/>
  <c r="I47" i="57"/>
  <c r="J47" i="57" s="1"/>
  <c r="I30" i="57"/>
  <c r="J30" i="57" s="1"/>
  <c r="I22" i="57"/>
  <c r="J22" i="57" s="1"/>
  <c r="I13" i="57"/>
  <c r="J13" i="57" s="1"/>
  <c r="I107" i="57"/>
  <c r="J107" i="57" s="1"/>
  <c r="I116" i="57"/>
  <c r="J116" i="57" s="1"/>
  <c r="I75" i="57"/>
  <c r="J75" i="57" s="1"/>
  <c r="I124" i="57"/>
  <c r="J124" i="57" s="1"/>
  <c r="I97" i="57"/>
  <c r="J97" i="57" s="1"/>
  <c r="I54" i="57"/>
  <c r="J54" i="57" s="1"/>
  <c r="I46" i="57"/>
  <c r="J46" i="57" s="1"/>
  <c r="I38" i="57"/>
  <c r="J38" i="57" s="1"/>
  <c r="I21" i="57"/>
  <c r="I11" i="57"/>
  <c r="J11" i="57" s="1"/>
  <c r="I68" i="57"/>
  <c r="J68" i="57" s="1"/>
  <c r="I88" i="57"/>
  <c r="J88" i="57" s="1"/>
  <c r="K88" i="57" s="1"/>
  <c r="M88" i="57" s="1"/>
  <c r="I87" i="57"/>
  <c r="J87" i="57" s="1"/>
  <c r="I118" i="57"/>
  <c r="J118" i="57" s="1"/>
  <c r="I63" i="57"/>
  <c r="J63" i="57" s="1"/>
  <c r="I53" i="57"/>
  <c r="J53" i="57" s="1"/>
  <c r="I37" i="57"/>
  <c r="J37" i="57" s="1"/>
  <c r="I28" i="57"/>
  <c r="J28" i="57" s="1"/>
  <c r="I20" i="57"/>
  <c r="J20" i="57" s="1"/>
  <c r="I69" i="57"/>
  <c r="J69" i="57" s="1"/>
  <c r="I72" i="57"/>
  <c r="J72" i="57" s="1"/>
  <c r="I77" i="57"/>
  <c r="J77" i="57" s="1"/>
  <c r="K77" i="57" s="1"/>
  <c r="I103" i="57"/>
  <c r="J103" i="57" s="1"/>
  <c r="I61" i="57"/>
  <c r="J61" i="57" s="1"/>
  <c r="I52" i="57"/>
  <c r="J52" i="57" s="1"/>
  <c r="I35" i="57"/>
  <c r="J35" i="57" s="1"/>
  <c r="I27" i="57"/>
  <c r="J27" i="57" s="1"/>
  <c r="I18" i="57"/>
  <c r="J18" i="57" s="1"/>
  <c r="I109" i="57"/>
  <c r="J109" i="57" s="1"/>
  <c r="I95" i="57"/>
  <c r="J95" i="57" s="1"/>
  <c r="I60" i="57"/>
  <c r="J60" i="57" s="1"/>
  <c r="I44" i="57"/>
  <c r="J44" i="57" s="1"/>
  <c r="K44" i="57" s="1"/>
  <c r="I17" i="57"/>
  <c r="J17" i="57" s="1"/>
  <c r="I9" i="57"/>
  <c r="J9" i="57" s="1"/>
  <c r="I110" i="57"/>
  <c r="J110" i="57" s="1"/>
  <c r="I119" i="57"/>
  <c r="J119" i="57" s="1"/>
  <c r="I78" i="57"/>
  <c r="J78" i="57" s="1"/>
  <c r="I81" i="57"/>
  <c r="J81" i="57" s="1"/>
  <c r="K81" i="57" s="1"/>
  <c r="U81" i="57" s="1"/>
  <c r="I84" i="57"/>
  <c r="J84" i="57" s="1"/>
  <c r="I89" i="57"/>
  <c r="J89" i="57" s="1"/>
  <c r="K89" i="57" s="1"/>
  <c r="I102" i="57"/>
  <c r="J102" i="57" s="1"/>
  <c r="I59" i="57"/>
  <c r="J59" i="57" s="1"/>
  <c r="I51" i="57"/>
  <c r="J51" i="57" s="1"/>
  <c r="I43" i="57"/>
  <c r="J43" i="57" s="1"/>
  <c r="I34" i="57"/>
  <c r="J34" i="57" s="1"/>
  <c r="I26" i="57"/>
  <c r="J26" i="57" s="1"/>
  <c r="K26" i="57" s="1"/>
  <c r="I7" i="57"/>
  <c r="J7" i="57" s="1"/>
  <c r="I105" i="57"/>
  <c r="J105" i="57" s="1"/>
  <c r="I112" i="57"/>
  <c r="J112" i="57" s="1"/>
  <c r="I82" i="57"/>
  <c r="J82" i="57" s="1"/>
  <c r="I85" i="57"/>
  <c r="J85" i="57" s="1"/>
  <c r="I92" i="57"/>
  <c r="J92" i="57" s="1"/>
  <c r="I49" i="57"/>
  <c r="J49" i="57" s="1"/>
  <c r="I32" i="57"/>
  <c r="J32" i="57" s="1"/>
  <c r="K32" i="57" s="1"/>
  <c r="I23" i="57"/>
  <c r="J23" i="57" s="1"/>
  <c r="I15" i="57"/>
  <c r="J15" i="57" s="1"/>
  <c r="J21" i="57"/>
  <c r="K21" i="57" s="1"/>
  <c r="V9" i="46"/>
  <c r="R9" i="46"/>
  <c r="AD41" i="46"/>
  <c r="N77" i="14"/>
  <c r="K105" i="14"/>
  <c r="O82" i="14"/>
  <c r="N82" i="14"/>
  <c r="V7" i="46"/>
  <c r="R7" i="46"/>
  <c r="K110" i="14"/>
  <c r="K70" i="57"/>
  <c r="N70" i="57" s="1"/>
  <c r="AF58" i="45"/>
  <c r="R25" i="46"/>
  <c r="AB52" i="46"/>
  <c r="AF52" i="46"/>
  <c r="H39" i="57"/>
  <c r="K39" i="57" s="1"/>
  <c r="K75" i="57"/>
  <c r="AB41" i="46"/>
  <c r="O77" i="14"/>
  <c r="AA78" i="46"/>
  <c r="AA48" i="46"/>
  <c r="D25" i="47"/>
  <c r="E25" i="47" s="1"/>
  <c r="AF22" i="46"/>
  <c r="H18" i="58"/>
  <c r="H14" i="57"/>
  <c r="H94" i="57"/>
  <c r="H19" i="58"/>
  <c r="K19" i="58" s="1"/>
  <c r="H15" i="57"/>
  <c r="H95" i="57"/>
  <c r="H111" i="57"/>
  <c r="K111" i="57" s="1"/>
  <c r="AF100" i="46"/>
  <c r="F20" i="70"/>
  <c r="H10" i="58"/>
  <c r="H21" i="57"/>
  <c r="F26" i="70"/>
  <c r="AD43" i="46"/>
  <c r="AI43" i="46" s="1"/>
  <c r="AJ43" i="46" s="1"/>
  <c r="AD55" i="46"/>
  <c r="H73" i="57"/>
  <c r="U12" i="54"/>
  <c r="U28" i="54"/>
  <c r="F47" i="70"/>
  <c r="AH22" i="46"/>
  <c r="F89" i="70"/>
  <c r="F127" i="70" s="1"/>
  <c r="W111" i="43"/>
  <c r="Y111" i="43"/>
  <c r="Y87" i="43"/>
  <c r="W87" i="43"/>
  <c r="W86" i="43"/>
  <c r="Z86" i="43" s="1"/>
  <c r="N92" i="43"/>
  <c r="Y113" i="43"/>
  <c r="W113" i="43"/>
  <c r="L58" i="43"/>
  <c r="N96" i="43"/>
  <c r="K18" i="56"/>
  <c r="J18" i="56"/>
  <c r="M18" i="56"/>
  <c r="N21" i="43"/>
  <c r="N33" i="43"/>
  <c r="N45" i="43"/>
  <c r="N57" i="43"/>
  <c r="L57" i="43"/>
  <c r="K57" i="43"/>
  <c r="L6" i="43"/>
  <c r="K6" i="43"/>
  <c r="N6" i="43"/>
  <c r="L89" i="43"/>
  <c r="K89" i="43"/>
  <c r="K86" i="43"/>
  <c r="L86" i="43"/>
  <c r="X6" i="56"/>
  <c r="V6" i="56"/>
  <c r="L56" i="43"/>
  <c r="K56" i="43"/>
  <c r="V10" i="56"/>
  <c r="Y10" i="56" s="1"/>
  <c r="Y60" i="43"/>
  <c r="Z60" i="43" s="1"/>
  <c r="W114" i="43"/>
  <c r="Y114" i="43"/>
  <c r="V8" i="56"/>
  <c r="Y8" i="56" s="1"/>
  <c r="Y85" i="43"/>
  <c r="W85" i="43"/>
  <c r="L90" i="43"/>
  <c r="K90" i="43"/>
  <c r="N129" i="43"/>
  <c r="N99" i="43"/>
  <c r="V18" i="56"/>
  <c r="Y18" i="56" s="1"/>
  <c r="V9" i="56"/>
  <c r="Y9" i="56" s="1"/>
  <c r="N13" i="43"/>
  <c r="N25" i="43"/>
  <c r="N37" i="43"/>
  <c r="N49" i="43"/>
  <c r="N61" i="43"/>
  <c r="L61" i="43"/>
  <c r="Y64" i="43"/>
  <c r="Z64" i="43" s="1"/>
  <c r="K115" i="43"/>
  <c r="P115" i="43" s="1"/>
  <c r="L115" i="43"/>
  <c r="K113" i="43"/>
  <c r="P113" i="43" s="1"/>
  <c r="L113" i="43"/>
  <c r="L111" i="43"/>
  <c r="K111" i="43"/>
  <c r="P111" i="43" s="1"/>
  <c r="L114" i="43"/>
  <c r="K114" i="43"/>
  <c r="P114" i="43" s="1"/>
  <c r="D10" i="55"/>
  <c r="J10" i="55" s="1"/>
  <c r="N10" i="55" s="1"/>
  <c r="N16" i="55" s="1"/>
  <c r="J27" i="55"/>
  <c r="R91" i="46"/>
  <c r="V91" i="46"/>
  <c r="W91" i="46" s="1"/>
  <c r="R14" i="46"/>
  <c r="V14" i="46"/>
  <c r="W14" i="46" s="1"/>
  <c r="R22" i="46"/>
  <c r="V22" i="46"/>
  <c r="J6" i="57"/>
  <c r="N78" i="14"/>
  <c r="K106" i="14"/>
  <c r="AL72" i="46"/>
  <c r="R74" i="46"/>
  <c r="V74" i="46"/>
  <c r="L5" i="67"/>
  <c r="D14" i="67"/>
  <c r="P14" i="67" s="1"/>
  <c r="D16" i="67"/>
  <c r="P16" i="67" s="1"/>
  <c r="L7" i="67"/>
  <c r="G11" i="57"/>
  <c r="H11" i="57" s="1"/>
  <c r="G17" i="57"/>
  <c r="H17" i="57" s="1"/>
  <c r="G23" i="57"/>
  <c r="H23" i="57" s="1"/>
  <c r="G29" i="57"/>
  <c r="H29" i="57" s="1"/>
  <c r="G35" i="57"/>
  <c r="H35" i="57" s="1"/>
  <c r="K35" i="57" s="1"/>
  <c r="G41" i="57"/>
  <c r="H41" i="57" s="1"/>
  <c r="G47" i="57"/>
  <c r="H47" i="57" s="1"/>
  <c r="G53" i="57"/>
  <c r="H53" i="57" s="1"/>
  <c r="G59" i="57"/>
  <c r="H59" i="57" s="1"/>
  <c r="G66" i="57"/>
  <c r="H66" i="57" s="1"/>
  <c r="G97" i="57"/>
  <c r="H97" i="57" s="1"/>
  <c r="K97" i="57" s="1"/>
  <c r="G103" i="57"/>
  <c r="H103" i="57" s="1"/>
  <c r="G126" i="57"/>
  <c r="H126" i="57" s="1"/>
  <c r="K126" i="57" s="1"/>
  <c r="N81" i="14"/>
  <c r="E17" i="50"/>
  <c r="N5" i="63" s="1"/>
  <c r="N6" i="63" s="1"/>
  <c r="O81" i="14"/>
  <c r="G86" i="57"/>
  <c r="H86" i="57" s="1"/>
  <c r="G71" i="57"/>
  <c r="H71" i="57" s="1"/>
  <c r="G69" i="57"/>
  <c r="H69" i="57" s="1"/>
  <c r="G122" i="57"/>
  <c r="H122" i="57" s="1"/>
  <c r="K122" i="57" s="1"/>
  <c r="G115" i="57"/>
  <c r="H115" i="57" s="1"/>
  <c r="G105" i="57"/>
  <c r="H105" i="57" s="1"/>
  <c r="AH21" i="46"/>
  <c r="AF21" i="46"/>
  <c r="G5" i="57"/>
  <c r="H5" i="57" s="1"/>
  <c r="G12" i="57"/>
  <c r="H12" i="57" s="1"/>
  <c r="G18" i="57"/>
  <c r="H18" i="57" s="1"/>
  <c r="K18" i="57" s="1"/>
  <c r="G24" i="57"/>
  <c r="H24" i="57" s="1"/>
  <c r="G30" i="57"/>
  <c r="H30" i="57" s="1"/>
  <c r="G36" i="57"/>
  <c r="H36" i="57" s="1"/>
  <c r="K36" i="57" s="1"/>
  <c r="G42" i="57"/>
  <c r="H42" i="57" s="1"/>
  <c r="G48" i="57"/>
  <c r="H48" i="57" s="1"/>
  <c r="G54" i="57"/>
  <c r="H54" i="57" s="1"/>
  <c r="G60" i="57"/>
  <c r="H60" i="57" s="1"/>
  <c r="G92" i="57"/>
  <c r="H92" i="57" s="1"/>
  <c r="G98" i="57"/>
  <c r="H98" i="57" s="1"/>
  <c r="G104" i="57"/>
  <c r="H104" i="57" s="1"/>
  <c r="G129" i="57"/>
  <c r="H129" i="57" s="1"/>
  <c r="K129" i="57" s="1"/>
  <c r="U4" i="54"/>
  <c r="AF60" i="46"/>
  <c r="AH60" i="46"/>
  <c r="N80" i="14"/>
  <c r="G78" i="57"/>
  <c r="H78" i="57" s="1"/>
  <c r="G84" i="57"/>
  <c r="H84" i="57" s="1"/>
  <c r="G76" i="57"/>
  <c r="H76" i="57" s="1"/>
  <c r="G80" i="57"/>
  <c r="H80" i="57" s="1"/>
  <c r="G121" i="57"/>
  <c r="H121" i="57" s="1"/>
  <c r="G110" i="57"/>
  <c r="H110" i="57" s="1"/>
  <c r="G6" i="57"/>
  <c r="H6" i="57" s="1"/>
  <c r="G13" i="57"/>
  <c r="H13" i="57" s="1"/>
  <c r="G19" i="57"/>
  <c r="H19" i="57" s="1"/>
  <c r="K19" i="57" s="1"/>
  <c r="G25" i="57"/>
  <c r="H25" i="57" s="1"/>
  <c r="G31" i="57"/>
  <c r="H31" i="57" s="1"/>
  <c r="G37" i="57"/>
  <c r="H37" i="57" s="1"/>
  <c r="G43" i="57"/>
  <c r="H43" i="57" s="1"/>
  <c r="G49" i="57"/>
  <c r="H49" i="57" s="1"/>
  <c r="G55" i="57"/>
  <c r="H55" i="57" s="1"/>
  <c r="G61" i="57"/>
  <c r="H61" i="57" s="1"/>
  <c r="G93" i="57"/>
  <c r="H93" i="57" s="1"/>
  <c r="G99" i="57"/>
  <c r="H99" i="57" s="1"/>
  <c r="G116" i="57"/>
  <c r="H116" i="57" s="1"/>
  <c r="K116" i="57" s="1"/>
  <c r="O80" i="14"/>
  <c r="G68" i="57"/>
  <c r="H68" i="57" s="1"/>
  <c r="U8" i="54"/>
  <c r="AF51" i="46"/>
  <c r="G87" i="57"/>
  <c r="H87" i="57" s="1"/>
  <c r="G72" i="57"/>
  <c r="H72" i="57" s="1"/>
  <c r="G82" i="57"/>
  <c r="H82" i="57" s="1"/>
  <c r="K82" i="57" s="1"/>
  <c r="G113" i="57"/>
  <c r="H113" i="57" s="1"/>
  <c r="K113" i="57" s="1"/>
  <c r="G109" i="57"/>
  <c r="H109" i="57" s="1"/>
  <c r="G10" i="57"/>
  <c r="H10" i="57" s="1"/>
  <c r="G16" i="57"/>
  <c r="H16" i="57" s="1"/>
  <c r="G22" i="57"/>
  <c r="H22" i="57" s="1"/>
  <c r="G28" i="57"/>
  <c r="H28" i="57" s="1"/>
  <c r="G34" i="57"/>
  <c r="H34" i="57" s="1"/>
  <c r="G40" i="57"/>
  <c r="H40" i="57" s="1"/>
  <c r="G46" i="57"/>
  <c r="H46" i="57" s="1"/>
  <c r="G52" i="57"/>
  <c r="H52" i="57" s="1"/>
  <c r="G58" i="57"/>
  <c r="H58" i="57" s="1"/>
  <c r="G64" i="57"/>
  <c r="H64" i="57" s="1"/>
  <c r="G96" i="57"/>
  <c r="H96" i="57" s="1"/>
  <c r="G102" i="57"/>
  <c r="H102" i="57" s="1"/>
  <c r="G125" i="57"/>
  <c r="H125" i="57" s="1"/>
  <c r="G79" i="57"/>
  <c r="H79" i="57" s="1"/>
  <c r="O48" i="76"/>
  <c r="C39" i="77"/>
  <c r="H127" i="57"/>
  <c r="AD46" i="46" l="1"/>
  <c r="AI46" i="46" s="1"/>
  <c r="AJ46" i="46" s="1"/>
  <c r="Z29" i="46"/>
  <c r="Z61" i="46"/>
  <c r="AQ61" i="46" s="1"/>
  <c r="Z95" i="46"/>
  <c r="AD88" i="46"/>
  <c r="AI88" i="46" s="1"/>
  <c r="AJ88" i="46" s="1"/>
  <c r="AD92" i="46"/>
  <c r="AI92" i="46" s="1"/>
  <c r="AJ92" i="46" s="1"/>
  <c r="AM42" i="46"/>
  <c r="AO42" i="46" s="1"/>
  <c r="AP42" i="46" s="1"/>
  <c r="T22" i="46"/>
  <c r="U22" i="46"/>
  <c r="U59" i="46"/>
  <c r="T59" i="46"/>
  <c r="T16" i="46"/>
  <c r="U16" i="46"/>
  <c r="T68" i="46"/>
  <c r="U68" i="46"/>
  <c r="U36" i="46"/>
  <c r="T36" i="46"/>
  <c r="U8" i="46"/>
  <c r="T8" i="46"/>
  <c r="T17" i="46"/>
  <c r="U17" i="46"/>
  <c r="T69" i="46"/>
  <c r="U69" i="46"/>
  <c r="U19" i="46"/>
  <c r="T19" i="46"/>
  <c r="U94" i="46"/>
  <c r="T94" i="46"/>
  <c r="T54" i="46"/>
  <c r="U54" i="46"/>
  <c r="U32" i="46"/>
  <c r="T32" i="46"/>
  <c r="U61" i="46"/>
  <c r="T61" i="46"/>
  <c r="T42" i="46"/>
  <c r="U42" i="46"/>
  <c r="T47" i="46"/>
  <c r="U47" i="46"/>
  <c r="AI82" i="46"/>
  <c r="AJ82" i="46" s="1"/>
  <c r="U79" i="46"/>
  <c r="T79" i="46"/>
  <c r="U78" i="46"/>
  <c r="T78" i="46"/>
  <c r="AD96" i="46"/>
  <c r="AI96" i="46" s="1"/>
  <c r="AJ96" i="46" s="1"/>
  <c r="T33" i="46"/>
  <c r="Z33" i="46"/>
  <c r="AQ33" i="46" s="1"/>
  <c r="Y33" i="46"/>
  <c r="U33" i="46"/>
  <c r="T97" i="46"/>
  <c r="U97" i="46"/>
  <c r="T88" i="46"/>
  <c r="U88" i="46"/>
  <c r="T15" i="46"/>
  <c r="U15" i="46"/>
  <c r="U86" i="46"/>
  <c r="T86" i="46"/>
  <c r="T73" i="46"/>
  <c r="U73" i="46"/>
  <c r="T46" i="46"/>
  <c r="U46" i="46"/>
  <c r="U100" i="46"/>
  <c r="T100" i="46"/>
  <c r="T40" i="46"/>
  <c r="U40" i="46"/>
  <c r="U55" i="46"/>
  <c r="T55" i="46"/>
  <c r="U70" i="46"/>
  <c r="T70" i="46"/>
  <c r="U83" i="46"/>
  <c r="T83" i="46"/>
  <c r="T72" i="46"/>
  <c r="U72" i="46"/>
  <c r="U85" i="46"/>
  <c r="T85" i="46"/>
  <c r="U84" i="46"/>
  <c r="T84" i="46"/>
  <c r="AI19" i="46"/>
  <c r="AJ19" i="46" s="1"/>
  <c r="U27" i="46"/>
  <c r="T27" i="46"/>
  <c r="T23" i="46"/>
  <c r="U23" i="46"/>
  <c r="U24" i="46"/>
  <c r="T24" i="46"/>
  <c r="T12" i="46"/>
  <c r="U12" i="46"/>
  <c r="L17" i="46"/>
  <c r="L35" i="46"/>
  <c r="L33" i="46"/>
  <c r="L34" i="46"/>
  <c r="T49" i="46"/>
  <c r="U49" i="46"/>
  <c r="U51" i="46"/>
  <c r="T51" i="46"/>
  <c r="Z8" i="46"/>
  <c r="AQ8" i="46" s="1"/>
  <c r="T62" i="46"/>
  <c r="U62" i="46"/>
  <c r="U45" i="46"/>
  <c r="T45" i="46"/>
  <c r="T35" i="46"/>
  <c r="Z35" i="46"/>
  <c r="AQ35" i="46" s="1"/>
  <c r="Y35" i="46"/>
  <c r="U35" i="46"/>
  <c r="U7" i="46"/>
  <c r="T7" i="46"/>
  <c r="Y7" i="46"/>
  <c r="U60" i="46"/>
  <c r="T60" i="46"/>
  <c r="T98" i="46"/>
  <c r="U98" i="46"/>
  <c r="T38" i="46"/>
  <c r="U38" i="46"/>
  <c r="T75" i="46"/>
  <c r="U75" i="46"/>
  <c r="T39" i="46"/>
  <c r="U39" i="46"/>
  <c r="U9" i="46"/>
  <c r="T9" i="46"/>
  <c r="T48" i="46"/>
  <c r="U48" i="46"/>
  <c r="AI99" i="46"/>
  <c r="AJ99" i="46" s="1"/>
  <c r="T92" i="46"/>
  <c r="U92" i="46"/>
  <c r="U25" i="46"/>
  <c r="T25" i="46"/>
  <c r="U29" i="46"/>
  <c r="T29" i="46"/>
  <c r="T89" i="46"/>
  <c r="U89" i="46"/>
  <c r="U77" i="46"/>
  <c r="T77" i="46"/>
  <c r="U53" i="46"/>
  <c r="T53" i="46"/>
  <c r="T41" i="46"/>
  <c r="U41" i="46"/>
  <c r="AD65" i="46"/>
  <c r="AI65" i="46" s="1"/>
  <c r="AJ65" i="46" s="1"/>
  <c r="T96" i="46"/>
  <c r="U96" i="46"/>
  <c r="Z23" i="46"/>
  <c r="AQ23" i="46" s="1"/>
  <c r="U44" i="46"/>
  <c r="T44" i="46"/>
  <c r="T64" i="46"/>
  <c r="U64" i="46"/>
  <c r="Z87" i="46"/>
  <c r="AQ87" i="46" s="1"/>
  <c r="Y29" i="46"/>
  <c r="AI72" i="46"/>
  <c r="AJ72" i="46" s="1"/>
  <c r="T20" i="46"/>
  <c r="U20" i="46"/>
  <c r="U34" i="46"/>
  <c r="T34" i="46"/>
  <c r="Z34" i="46"/>
  <c r="AQ34" i="46" s="1"/>
  <c r="Y34" i="46"/>
  <c r="U52" i="46"/>
  <c r="T52" i="46"/>
  <c r="T87" i="46"/>
  <c r="U87" i="46"/>
  <c r="U58" i="46"/>
  <c r="T58" i="46"/>
  <c r="T90" i="46"/>
  <c r="U90" i="46"/>
  <c r="T11" i="46"/>
  <c r="U11" i="46"/>
  <c r="U37" i="46"/>
  <c r="T37" i="46"/>
  <c r="U93" i="46"/>
  <c r="T93" i="46"/>
  <c r="T66" i="46"/>
  <c r="U66" i="46"/>
  <c r="U28" i="46"/>
  <c r="T28" i="46"/>
  <c r="U56" i="46"/>
  <c r="T56" i="46"/>
  <c r="T95" i="46"/>
  <c r="U95" i="46"/>
  <c r="M35" i="46"/>
  <c r="M33" i="46"/>
  <c r="M34" i="46"/>
  <c r="U80" i="46"/>
  <c r="T80" i="46"/>
  <c r="U82" i="46"/>
  <c r="T82" i="46"/>
  <c r="U76" i="46"/>
  <c r="T76" i="46"/>
  <c r="Y28" i="46"/>
  <c r="AI40" i="46"/>
  <c r="AJ40" i="46" s="1"/>
  <c r="T43" i="46"/>
  <c r="U43" i="46"/>
  <c r="T65" i="46"/>
  <c r="U65" i="46"/>
  <c r="T21" i="46"/>
  <c r="U21" i="46"/>
  <c r="U99" i="46"/>
  <c r="T99" i="46"/>
  <c r="AI26" i="45"/>
  <c r="AJ26" i="45" s="1"/>
  <c r="AM26" i="45"/>
  <c r="AO26" i="45" s="1"/>
  <c r="AI34" i="45"/>
  <c r="AJ34" i="45" s="1"/>
  <c r="AM34" i="45"/>
  <c r="AO34" i="45" s="1"/>
  <c r="AP34" i="45" s="1"/>
  <c r="AH8" i="45"/>
  <c r="Y44" i="45"/>
  <c r="T44" i="45"/>
  <c r="U44" i="45"/>
  <c r="Z44" i="45"/>
  <c r="AQ44" i="45" s="1"/>
  <c r="U17" i="45"/>
  <c r="T17" i="45"/>
  <c r="Y17" i="45"/>
  <c r="Z17" i="45"/>
  <c r="AP24" i="45"/>
  <c r="AI24" i="45"/>
  <c r="AJ24" i="45" s="1"/>
  <c r="T26" i="45"/>
  <c r="U26" i="45"/>
  <c r="Z26" i="45"/>
  <c r="AQ26" i="45" s="1"/>
  <c r="Y26" i="45"/>
  <c r="AH17" i="45"/>
  <c r="AM17" i="45" s="1"/>
  <c r="AO17" i="45" s="1"/>
  <c r="AH33" i="45"/>
  <c r="U50" i="45"/>
  <c r="T50" i="45"/>
  <c r="Z50" i="45"/>
  <c r="AQ50" i="45" s="1"/>
  <c r="Y50" i="45"/>
  <c r="Z23" i="45"/>
  <c r="AQ23" i="45" s="1"/>
  <c r="U23" i="45"/>
  <c r="T23" i="45"/>
  <c r="Y23" i="45"/>
  <c r="AI44" i="45"/>
  <c r="AJ44" i="45" s="1"/>
  <c r="T59" i="45"/>
  <c r="U59" i="45"/>
  <c r="Z59" i="45"/>
  <c r="AQ59" i="45" s="1"/>
  <c r="Y59" i="45"/>
  <c r="AI43" i="45"/>
  <c r="AJ43" i="45" s="1"/>
  <c r="T34" i="45"/>
  <c r="U34" i="45"/>
  <c r="Y34" i="45"/>
  <c r="Z34" i="45"/>
  <c r="Y33" i="45"/>
  <c r="T33" i="45"/>
  <c r="Z33" i="45"/>
  <c r="U33" i="45"/>
  <c r="Y15" i="45"/>
  <c r="T15" i="45"/>
  <c r="Z15" i="45"/>
  <c r="AQ15" i="45" s="1"/>
  <c r="U15" i="45"/>
  <c r="Y37" i="45"/>
  <c r="U37" i="45"/>
  <c r="T37" i="45"/>
  <c r="Z37" i="45"/>
  <c r="AQ37" i="45" s="1"/>
  <c r="U43" i="45"/>
  <c r="Z43" i="45"/>
  <c r="AQ43" i="45" s="1"/>
  <c r="Y43" i="45"/>
  <c r="T43" i="45"/>
  <c r="Y8" i="45"/>
  <c r="Z8" i="45"/>
  <c r="U8" i="45"/>
  <c r="T8" i="45"/>
  <c r="T41" i="45"/>
  <c r="U41" i="45"/>
  <c r="Z41" i="45"/>
  <c r="AQ41" i="45" s="1"/>
  <c r="Y41" i="45"/>
  <c r="Z24" i="45"/>
  <c r="U24" i="45"/>
  <c r="T24" i="45"/>
  <c r="Y24" i="45"/>
  <c r="Z38" i="46"/>
  <c r="Z28" i="46"/>
  <c r="Z36" i="46"/>
  <c r="AQ36" i="46" s="1"/>
  <c r="Z89" i="46"/>
  <c r="AQ89" i="46" s="1"/>
  <c r="Y100" i="46"/>
  <c r="Z32" i="46"/>
  <c r="AQ32" i="46" s="1"/>
  <c r="Z10" i="46"/>
  <c r="AQ10" i="46" s="1"/>
  <c r="Z59" i="46"/>
  <c r="AQ59" i="46" s="1"/>
  <c r="Z52" i="46"/>
  <c r="AQ52" i="46" s="1"/>
  <c r="AI55" i="46"/>
  <c r="AJ55" i="46" s="1"/>
  <c r="Y52" i="46"/>
  <c r="AI42" i="46"/>
  <c r="AJ42" i="46" s="1"/>
  <c r="Z86" i="46"/>
  <c r="AQ86" i="46" s="1"/>
  <c r="AM19" i="46"/>
  <c r="AO19" i="46" s="1"/>
  <c r="AP19" i="46" s="1"/>
  <c r="Z12" i="46"/>
  <c r="AQ12" i="46" s="1"/>
  <c r="Y19" i="46"/>
  <c r="Y15" i="46"/>
  <c r="Z53" i="46"/>
  <c r="AQ53" i="46" s="1"/>
  <c r="Z80" i="46"/>
  <c r="AQ80" i="46" s="1"/>
  <c r="Y47" i="46"/>
  <c r="Z27" i="46"/>
  <c r="AQ27" i="46" s="1"/>
  <c r="Z49" i="46"/>
  <c r="Z47" i="46"/>
  <c r="AD87" i="46"/>
  <c r="AI87" i="46" s="1"/>
  <c r="AJ87" i="46" s="1"/>
  <c r="Z44" i="46"/>
  <c r="AQ44" i="46" s="1"/>
  <c r="Z60" i="46"/>
  <c r="Z45" i="46"/>
  <c r="AQ45" i="46" s="1"/>
  <c r="AM41" i="46"/>
  <c r="AO41" i="46" s="1"/>
  <c r="AP41" i="46" s="1"/>
  <c r="Y38" i="46"/>
  <c r="AD62" i="46"/>
  <c r="AI62" i="46" s="1"/>
  <c r="AJ62" i="46" s="1"/>
  <c r="AD13" i="46"/>
  <c r="AI13" i="46" s="1"/>
  <c r="AJ13" i="46" s="1"/>
  <c r="AD83" i="46"/>
  <c r="AI83" i="46" s="1"/>
  <c r="AJ83" i="46" s="1"/>
  <c r="AD59" i="46"/>
  <c r="AI59" i="46" s="1"/>
  <c r="AJ59" i="46" s="1"/>
  <c r="AD8" i="46"/>
  <c r="AI8" i="46" s="1"/>
  <c r="AJ8" i="46" s="1"/>
  <c r="AM55" i="46"/>
  <c r="AO55" i="46" s="1"/>
  <c r="AP55" i="46" s="1"/>
  <c r="K29" i="57"/>
  <c r="K121" i="57"/>
  <c r="Y13" i="56"/>
  <c r="K84" i="57"/>
  <c r="K73" i="57"/>
  <c r="K125" i="57"/>
  <c r="K115" i="57"/>
  <c r="K48" i="57"/>
  <c r="F101" i="43"/>
  <c r="K53" i="57"/>
  <c r="K33" i="57"/>
  <c r="L33" i="57" s="1"/>
  <c r="K10" i="58"/>
  <c r="M10" i="58" s="1"/>
  <c r="K16" i="57"/>
  <c r="F16" i="43" s="1"/>
  <c r="K13" i="57"/>
  <c r="R13" i="57" s="1"/>
  <c r="K24" i="57"/>
  <c r="L24" i="57" s="1"/>
  <c r="K25" i="57"/>
  <c r="O25" i="57" s="1"/>
  <c r="K57" i="57"/>
  <c r="F57" i="43" s="1"/>
  <c r="M54" i="45"/>
  <c r="X54" i="45" s="1"/>
  <c r="M42" i="45"/>
  <c r="X42" i="45" s="1"/>
  <c r="M30" i="45"/>
  <c r="X30" i="45" s="1"/>
  <c r="M8" i="45"/>
  <c r="X8" i="45" s="1"/>
  <c r="M60" i="45"/>
  <c r="X60" i="45" s="1"/>
  <c r="M24" i="45"/>
  <c r="X24" i="45" s="1"/>
  <c r="M31" i="45"/>
  <c r="X31" i="45" s="1"/>
  <c r="M45" i="45"/>
  <c r="X45" i="45" s="1"/>
  <c r="M13" i="45"/>
  <c r="X13" i="45" s="1"/>
  <c r="M10" i="45"/>
  <c r="X10" i="45" s="1"/>
  <c r="M26" i="45"/>
  <c r="X26" i="45" s="1"/>
  <c r="M32" i="45"/>
  <c r="X32" i="45" s="1"/>
  <c r="M22" i="45"/>
  <c r="X22" i="45" s="1"/>
  <c r="M34" i="45"/>
  <c r="X34" i="45" s="1"/>
  <c r="M55" i="45"/>
  <c r="X55" i="45" s="1"/>
  <c r="AP26" i="45"/>
  <c r="M47" i="45"/>
  <c r="X47" i="45" s="1"/>
  <c r="M56" i="45"/>
  <c r="X56" i="45" s="1"/>
  <c r="M58" i="45"/>
  <c r="X58" i="45" s="1"/>
  <c r="M46" i="45"/>
  <c r="X46" i="45" s="1"/>
  <c r="M18" i="45"/>
  <c r="X18" i="45" s="1"/>
  <c r="M61" i="45"/>
  <c r="X61" i="45" s="1"/>
  <c r="M33" i="45"/>
  <c r="X33" i="45" s="1"/>
  <c r="M19" i="45"/>
  <c r="X19" i="45" s="1"/>
  <c r="M36" i="45"/>
  <c r="X36" i="45" s="1"/>
  <c r="M41" i="45"/>
  <c r="X41" i="45" s="1"/>
  <c r="M21" i="45"/>
  <c r="X21" i="45" s="1"/>
  <c r="M44" i="45"/>
  <c r="X44" i="45" s="1"/>
  <c r="Y60" i="46"/>
  <c r="Y49" i="46"/>
  <c r="Z15" i="46"/>
  <c r="Y66" i="46"/>
  <c r="Z76" i="46"/>
  <c r="AQ76" i="46" s="1"/>
  <c r="Y42" i="46"/>
  <c r="Z93" i="46"/>
  <c r="AQ93" i="46" s="1"/>
  <c r="Y72" i="46"/>
  <c r="Z42" i="46"/>
  <c r="AQ42" i="46" s="1"/>
  <c r="Z16" i="46"/>
  <c r="Y95" i="46"/>
  <c r="Z58" i="46"/>
  <c r="AQ58" i="46" s="1"/>
  <c r="Z85" i="46"/>
  <c r="AQ85" i="46" s="1"/>
  <c r="Z70" i="46"/>
  <c r="AQ70" i="46" s="1"/>
  <c r="Z72" i="46"/>
  <c r="AQ72" i="46" s="1"/>
  <c r="Z56" i="46"/>
  <c r="AQ56" i="46" s="1"/>
  <c r="Z54" i="46"/>
  <c r="AQ54" i="46" s="1"/>
  <c r="Z48" i="46"/>
  <c r="AQ48" i="46" s="1"/>
  <c r="Z17" i="46"/>
  <c r="Y16" i="46"/>
  <c r="Y17" i="46"/>
  <c r="O126" i="14"/>
  <c r="K154" i="14"/>
  <c r="N126" i="14"/>
  <c r="O136" i="14"/>
  <c r="N136" i="14"/>
  <c r="K164" i="14"/>
  <c r="N112" i="14"/>
  <c r="K140" i="14"/>
  <c r="O112" i="14"/>
  <c r="K159" i="14"/>
  <c r="O131" i="14"/>
  <c r="N131" i="14"/>
  <c r="K160" i="14"/>
  <c r="O132" i="14"/>
  <c r="N132" i="14"/>
  <c r="N139" i="14"/>
  <c r="K167" i="14"/>
  <c r="K120" i="14"/>
  <c r="O92" i="14"/>
  <c r="N92" i="14"/>
  <c r="K67" i="57"/>
  <c r="F67" i="43" s="1"/>
  <c r="T83" i="57"/>
  <c r="L83" i="57"/>
  <c r="K49" i="57"/>
  <c r="L49" i="57" s="1"/>
  <c r="S70" i="57"/>
  <c r="R70" i="57"/>
  <c r="K18" i="58"/>
  <c r="P18" i="58" s="1"/>
  <c r="L101" i="57"/>
  <c r="K50" i="57"/>
  <c r="L50" i="57" s="1"/>
  <c r="N101" i="57"/>
  <c r="K10" i="57"/>
  <c r="Q10" i="57" s="1"/>
  <c r="K80" i="57"/>
  <c r="M80" i="57" s="1"/>
  <c r="K76" i="57"/>
  <c r="T76" i="57" s="1"/>
  <c r="K17" i="57"/>
  <c r="O17" i="57" s="1"/>
  <c r="W58" i="43"/>
  <c r="Z58" i="43" s="1"/>
  <c r="Y126" i="43"/>
  <c r="Z126" i="43" s="1"/>
  <c r="K85" i="57"/>
  <c r="L85" i="57" s="1"/>
  <c r="K127" i="57"/>
  <c r="T127" i="57" s="1"/>
  <c r="W63" i="43"/>
  <c r="Z63" i="43" s="1"/>
  <c r="K100" i="57"/>
  <c r="Q100" i="57" s="1"/>
  <c r="K105" i="57"/>
  <c r="O105" i="57" s="1"/>
  <c r="K62" i="57"/>
  <c r="K102" i="57"/>
  <c r="T102" i="57" s="1"/>
  <c r="K71" i="57"/>
  <c r="O71" i="57" s="1"/>
  <c r="F83" i="43"/>
  <c r="K95" i="57"/>
  <c r="F95" i="43" s="1"/>
  <c r="N83" i="57"/>
  <c r="K79" i="57"/>
  <c r="O79" i="57" s="1"/>
  <c r="K96" i="57"/>
  <c r="L96" i="57" s="1"/>
  <c r="M70" i="57"/>
  <c r="Y122" i="43"/>
  <c r="Z122" i="43" s="1"/>
  <c r="L70" i="57"/>
  <c r="K58" i="57"/>
  <c r="Q58" i="57" s="1"/>
  <c r="K104" i="57"/>
  <c r="S104" i="57" s="1"/>
  <c r="U70" i="57"/>
  <c r="K98" i="57"/>
  <c r="S98" i="57" s="1"/>
  <c r="T70" i="57"/>
  <c r="M101" i="57"/>
  <c r="S101" i="57"/>
  <c r="K5" i="57"/>
  <c r="M5" i="57" s="1"/>
  <c r="K92" i="57"/>
  <c r="S92" i="57" s="1"/>
  <c r="U67" i="57"/>
  <c r="O67" i="57"/>
  <c r="U24" i="58"/>
  <c r="Q83" i="57"/>
  <c r="K7" i="57"/>
  <c r="F7" i="43" s="1"/>
  <c r="M38" i="45"/>
  <c r="X38" i="45" s="1"/>
  <c r="L24" i="58"/>
  <c r="L98" i="46"/>
  <c r="L99" i="46"/>
  <c r="L74" i="46"/>
  <c r="L46" i="46"/>
  <c r="L18" i="46"/>
  <c r="L58" i="46"/>
  <c r="L28" i="46"/>
  <c r="L55" i="46"/>
  <c r="L82" i="46"/>
  <c r="L80" i="46"/>
  <c r="L79" i="46"/>
  <c r="L52" i="46"/>
  <c r="L23" i="46"/>
  <c r="L78" i="46"/>
  <c r="L22" i="46"/>
  <c r="L49" i="46"/>
  <c r="L76" i="46"/>
  <c r="L20" i="46"/>
  <c r="L75" i="46"/>
  <c r="L97" i="46"/>
  <c r="L72" i="46"/>
  <c r="L44" i="46"/>
  <c r="L16" i="46"/>
  <c r="L8" i="46"/>
  <c r="L54" i="46"/>
  <c r="L96" i="46"/>
  <c r="L71" i="46"/>
  <c r="L43" i="46"/>
  <c r="L15" i="46"/>
  <c r="L36" i="46"/>
  <c r="L56" i="46"/>
  <c r="L77" i="46"/>
  <c r="L95" i="46"/>
  <c r="L70" i="46"/>
  <c r="L42" i="46"/>
  <c r="L14" i="46"/>
  <c r="L94" i="46"/>
  <c r="L69" i="46"/>
  <c r="L41" i="46"/>
  <c r="L13" i="46"/>
  <c r="L89" i="46"/>
  <c r="L93" i="46"/>
  <c r="L68" i="46"/>
  <c r="L40" i="46"/>
  <c r="L12" i="46"/>
  <c r="L100" i="46"/>
  <c r="L92" i="46"/>
  <c r="L66" i="46"/>
  <c r="L39" i="46"/>
  <c r="L11" i="46"/>
  <c r="L62" i="46"/>
  <c r="L29" i="46"/>
  <c r="L47" i="46"/>
  <c r="L91" i="46"/>
  <c r="L65" i="46"/>
  <c r="L38" i="46"/>
  <c r="L10" i="46"/>
  <c r="L90" i="46"/>
  <c r="L64" i="46"/>
  <c r="L37" i="46"/>
  <c r="L9" i="46"/>
  <c r="L24" i="46"/>
  <c r="L21" i="46"/>
  <c r="L19" i="46"/>
  <c r="L88" i="46"/>
  <c r="L61" i="46"/>
  <c r="L32" i="46"/>
  <c r="L7" i="46"/>
  <c r="L87" i="46"/>
  <c r="L60" i="46"/>
  <c r="L85" i="46"/>
  <c r="L84" i="46"/>
  <c r="L83" i="46"/>
  <c r="L27" i="46"/>
  <c r="L25" i="46"/>
  <c r="L53" i="46"/>
  <c r="L51" i="46"/>
  <c r="L48" i="46"/>
  <c r="M43" i="45"/>
  <c r="X43" i="45" s="1"/>
  <c r="Y6" i="43"/>
  <c r="K20" i="57"/>
  <c r="U20" i="57" s="1"/>
  <c r="Y55" i="43"/>
  <c r="Z55" i="43" s="1"/>
  <c r="W56" i="43"/>
  <c r="Z56" i="43" s="1"/>
  <c r="K63" i="57"/>
  <c r="P63" i="57" s="1"/>
  <c r="Y59" i="43"/>
  <c r="Z59" i="43" s="1"/>
  <c r="M17" i="45"/>
  <c r="X17" i="45" s="1"/>
  <c r="R24" i="58"/>
  <c r="Y14" i="56"/>
  <c r="Z15" i="56" s="1"/>
  <c r="O88" i="57"/>
  <c r="S24" i="58"/>
  <c r="K106" i="57"/>
  <c r="L106" i="57" s="1"/>
  <c r="N24" i="58"/>
  <c r="Y112" i="43"/>
  <c r="Z112" i="43" s="1"/>
  <c r="T101" i="57"/>
  <c r="K118" i="57"/>
  <c r="L118" i="57" s="1"/>
  <c r="T24" i="58"/>
  <c r="K107" i="57"/>
  <c r="Q107" i="57" s="1"/>
  <c r="L86" i="46"/>
  <c r="M81" i="57"/>
  <c r="K38" i="57"/>
  <c r="O38" i="57" s="1"/>
  <c r="O120" i="57"/>
  <c r="M83" i="57"/>
  <c r="Y84" i="43"/>
  <c r="Z84" i="43" s="1"/>
  <c r="L73" i="46"/>
  <c r="R81" i="57"/>
  <c r="M120" i="57"/>
  <c r="P83" i="57"/>
  <c r="P24" i="58"/>
  <c r="L59" i="46"/>
  <c r="L81" i="57"/>
  <c r="Q120" i="57"/>
  <c r="M62" i="45"/>
  <c r="X62" i="45" s="1"/>
  <c r="Y89" i="43"/>
  <c r="Z89" i="43" s="1"/>
  <c r="W62" i="43"/>
  <c r="Z62" i="43" s="1"/>
  <c r="O83" i="57"/>
  <c r="Q24" i="58"/>
  <c r="L45" i="46"/>
  <c r="U83" i="57"/>
  <c r="K112" i="57"/>
  <c r="F112" i="43" s="1"/>
  <c r="K27" i="57"/>
  <c r="O27" i="57" s="1"/>
  <c r="M20" i="45"/>
  <c r="X20" i="45" s="1"/>
  <c r="M16" i="45"/>
  <c r="X16" i="45" s="1"/>
  <c r="S83" i="57"/>
  <c r="E24" i="56"/>
  <c r="K119" i="57"/>
  <c r="S119" i="57" s="1"/>
  <c r="K22" i="58"/>
  <c r="L22" i="58" s="1"/>
  <c r="M14" i="45"/>
  <c r="X14" i="45" s="1"/>
  <c r="L30" i="46"/>
  <c r="I4" i="35"/>
  <c r="F9" i="35"/>
  <c r="F4" i="35"/>
  <c r="I9" i="35"/>
  <c r="Y61" i="43"/>
  <c r="Z61" i="43" s="1"/>
  <c r="Y97" i="46"/>
  <c r="Z69" i="46"/>
  <c r="H15" i="59"/>
  <c r="H16" i="59" s="1"/>
  <c r="Y69" i="46"/>
  <c r="Z64" i="46"/>
  <c r="AQ64" i="46" s="1"/>
  <c r="Z66" i="46"/>
  <c r="AQ66" i="46" s="1"/>
  <c r="Z62" i="46"/>
  <c r="AQ62" i="46" s="1"/>
  <c r="Y55" i="46"/>
  <c r="Z43" i="46"/>
  <c r="AQ43" i="46" s="1"/>
  <c r="Y39" i="46"/>
  <c r="Z39" i="46"/>
  <c r="Y37" i="46"/>
  <c r="Z37" i="46"/>
  <c r="Z21" i="46"/>
  <c r="Y21" i="46"/>
  <c r="Y5" i="43"/>
  <c r="Z5" i="43" s="1"/>
  <c r="Z90" i="43"/>
  <c r="Y115" i="43"/>
  <c r="W115" i="43"/>
  <c r="Z57" i="43"/>
  <c r="W88" i="43"/>
  <c r="Z88" i="43" s="1"/>
  <c r="C7" i="34"/>
  <c r="H7" i="34" s="1"/>
  <c r="Z88" i="46"/>
  <c r="AQ88" i="46" s="1"/>
  <c r="Y94" i="46"/>
  <c r="Z82" i="46"/>
  <c r="Z84" i="46"/>
  <c r="AQ84" i="46" s="1"/>
  <c r="Z99" i="46"/>
  <c r="AQ99" i="46" s="1"/>
  <c r="Y82" i="46"/>
  <c r="Z79" i="46"/>
  <c r="AQ79" i="46" s="1"/>
  <c r="Z51" i="46"/>
  <c r="AQ51" i="46" s="1"/>
  <c r="Y51" i="46"/>
  <c r="Z55" i="46"/>
  <c r="Z46" i="46"/>
  <c r="AQ46" i="46" s="1"/>
  <c r="Y41" i="46"/>
  <c r="Z41" i="46"/>
  <c r="Z40" i="46"/>
  <c r="AQ40" i="46" s="1"/>
  <c r="Z20" i="46"/>
  <c r="AQ20" i="46" s="1"/>
  <c r="Z18" i="46"/>
  <c r="AQ18" i="46" s="1"/>
  <c r="O90" i="57"/>
  <c r="U90" i="57"/>
  <c r="R90" i="57"/>
  <c r="S106" i="57"/>
  <c r="K51" i="57"/>
  <c r="U51" i="57" s="1"/>
  <c r="K52" i="57"/>
  <c r="R52" i="57" s="1"/>
  <c r="K87" i="57"/>
  <c r="L87" i="57" s="1"/>
  <c r="K43" i="57"/>
  <c r="Q43" i="57" s="1"/>
  <c r="K78" i="57"/>
  <c r="O78" i="57" s="1"/>
  <c r="Q70" i="57"/>
  <c r="Q101" i="57"/>
  <c r="K54" i="57"/>
  <c r="R54" i="57" s="1"/>
  <c r="K37" i="57"/>
  <c r="F37" i="43" s="1"/>
  <c r="K42" i="57"/>
  <c r="P42" i="57" s="1"/>
  <c r="K69" i="57"/>
  <c r="T69" i="57" s="1"/>
  <c r="P70" i="57"/>
  <c r="U101" i="57"/>
  <c r="K60" i="57"/>
  <c r="T60" i="57" s="1"/>
  <c r="K66" i="57"/>
  <c r="U66" i="57" s="1"/>
  <c r="K46" i="57"/>
  <c r="U46" i="57" s="1"/>
  <c r="K14" i="57"/>
  <c r="P14" i="57" s="1"/>
  <c r="L14" i="58"/>
  <c r="E14" i="56"/>
  <c r="P14" i="58"/>
  <c r="N14" i="58"/>
  <c r="S14" i="58"/>
  <c r="R14" i="58"/>
  <c r="U14" i="58"/>
  <c r="Q14" i="58"/>
  <c r="O14" i="58"/>
  <c r="M14" i="58"/>
  <c r="T14" i="58"/>
  <c r="K40" i="57"/>
  <c r="O40" i="57" s="1"/>
  <c r="K41" i="57"/>
  <c r="U41" i="57" s="1"/>
  <c r="O70" i="57"/>
  <c r="O101" i="57"/>
  <c r="K55" i="57"/>
  <c r="T55" i="57" s="1"/>
  <c r="P101" i="57"/>
  <c r="E8" i="56"/>
  <c r="P8" i="58"/>
  <c r="N8" i="58"/>
  <c r="U8" i="58"/>
  <c r="M8" i="58"/>
  <c r="T8" i="58"/>
  <c r="O8" i="58"/>
  <c r="L8" i="58"/>
  <c r="S8" i="58"/>
  <c r="R8" i="58"/>
  <c r="Q8" i="58"/>
  <c r="K11" i="57"/>
  <c r="L11" i="57" s="1"/>
  <c r="K64" i="57"/>
  <c r="N64" i="57" s="1"/>
  <c r="K72" i="57"/>
  <c r="T72" i="57" s="1"/>
  <c r="K59" i="57"/>
  <c r="U59" i="57" s="1"/>
  <c r="K34" i="57"/>
  <c r="S34" i="57" s="1"/>
  <c r="K86" i="57"/>
  <c r="F86" i="43" s="1"/>
  <c r="F70" i="43"/>
  <c r="K9" i="57"/>
  <c r="Q9" i="57" s="1"/>
  <c r="K28" i="57"/>
  <c r="U28" i="57" s="1"/>
  <c r="R120" i="57"/>
  <c r="T120" i="57"/>
  <c r="S120" i="57"/>
  <c r="U120" i="57"/>
  <c r="N120" i="57"/>
  <c r="F120" i="43"/>
  <c r="P120" i="57"/>
  <c r="Y40" i="46"/>
  <c r="Z83" i="46"/>
  <c r="AQ83" i="46" s="1"/>
  <c r="Z98" i="46"/>
  <c r="AQ98" i="46" s="1"/>
  <c r="Z97" i="46"/>
  <c r="Z94" i="46"/>
  <c r="Z92" i="46"/>
  <c r="AQ92" i="46" s="1"/>
  <c r="Z90" i="46"/>
  <c r="AQ90" i="46" s="1"/>
  <c r="Z96" i="46"/>
  <c r="AQ96" i="46" s="1"/>
  <c r="Y77" i="46"/>
  <c r="Z77" i="46"/>
  <c r="Z75" i="46"/>
  <c r="AQ75" i="46" s="1"/>
  <c r="Y68" i="46"/>
  <c r="Z73" i="46"/>
  <c r="AQ73" i="46" s="1"/>
  <c r="R103" i="46"/>
  <c r="D21" i="59" s="1"/>
  <c r="Z78" i="46"/>
  <c r="AQ78" i="46" s="1"/>
  <c r="Z68" i="46"/>
  <c r="N77" i="57"/>
  <c r="S77" i="57"/>
  <c r="T77" i="57"/>
  <c r="R77" i="57"/>
  <c r="F77" i="43"/>
  <c r="M77" i="57"/>
  <c r="Q77" i="57"/>
  <c r="P77" i="57"/>
  <c r="L77" i="57"/>
  <c r="U77" i="57"/>
  <c r="O77" i="57"/>
  <c r="L7" i="53"/>
  <c r="L11" i="73"/>
  <c r="T19" i="58"/>
  <c r="R19" i="58"/>
  <c r="P19" i="58"/>
  <c r="O19" i="58"/>
  <c r="S19" i="58"/>
  <c r="Q19" i="58"/>
  <c r="N19" i="58"/>
  <c r="M19" i="58"/>
  <c r="L19" i="58"/>
  <c r="U19" i="58"/>
  <c r="E19" i="56"/>
  <c r="U20" i="58"/>
  <c r="S20" i="58"/>
  <c r="Q20" i="58"/>
  <c r="P20" i="58"/>
  <c r="T20" i="58"/>
  <c r="O20" i="58"/>
  <c r="N20" i="58"/>
  <c r="M20" i="58"/>
  <c r="L20" i="58"/>
  <c r="E20" i="56"/>
  <c r="R20" i="58"/>
  <c r="T74" i="57"/>
  <c r="N74" i="57"/>
  <c r="S74" i="57"/>
  <c r="M74" i="57"/>
  <c r="Q74" i="57"/>
  <c r="U74" i="57"/>
  <c r="F74" i="43"/>
  <c r="P74" i="57"/>
  <c r="L74" i="57"/>
  <c r="R74" i="57"/>
  <c r="O74" i="57"/>
  <c r="O114" i="57"/>
  <c r="N114" i="57"/>
  <c r="S114" i="57"/>
  <c r="U114" i="57"/>
  <c r="T114" i="57"/>
  <c r="L114" i="57"/>
  <c r="R114" i="57"/>
  <c r="M114" i="57"/>
  <c r="Q114" i="57"/>
  <c r="P114" i="57"/>
  <c r="F114" i="43"/>
  <c r="L6" i="67"/>
  <c r="D15" i="67"/>
  <c r="P15" i="67" s="1"/>
  <c r="P16" i="58"/>
  <c r="N16" i="58"/>
  <c r="L16" i="58"/>
  <c r="E16" i="56"/>
  <c r="O16" i="58"/>
  <c r="M16" i="58"/>
  <c r="U16" i="58"/>
  <c r="R16" i="58"/>
  <c r="Q16" i="58"/>
  <c r="T16" i="58"/>
  <c r="S16" i="58"/>
  <c r="AM29" i="46"/>
  <c r="AO29" i="46" s="1"/>
  <c r="AP29" i="46" s="1"/>
  <c r="AQ29" i="46" s="1"/>
  <c r="AI29" i="46"/>
  <c r="AJ29" i="46" s="1"/>
  <c r="R27" i="57"/>
  <c r="P27" i="57"/>
  <c r="U6" i="58"/>
  <c r="Q6" i="58"/>
  <c r="P6" i="58"/>
  <c r="O6" i="58"/>
  <c r="N6" i="58"/>
  <c r="M6" i="58"/>
  <c r="L6" i="58"/>
  <c r="E6" i="56"/>
  <c r="R6" i="58"/>
  <c r="T6" i="58"/>
  <c r="S6" i="58"/>
  <c r="O111" i="57"/>
  <c r="F111" i="43"/>
  <c r="M111" i="57"/>
  <c r="R111" i="57"/>
  <c r="T111" i="57"/>
  <c r="N111" i="57"/>
  <c r="Q111" i="57"/>
  <c r="L111" i="57"/>
  <c r="P111" i="57"/>
  <c r="U111" i="57"/>
  <c r="S111" i="57"/>
  <c r="F90" i="43"/>
  <c r="S90" i="57"/>
  <c r="Q90" i="57"/>
  <c r="O102" i="14"/>
  <c r="K130" i="14"/>
  <c r="N102" i="14"/>
  <c r="W70" i="45"/>
  <c r="P14" i="59" s="1"/>
  <c r="L90" i="57"/>
  <c r="N56" i="57"/>
  <c r="T56" i="57"/>
  <c r="R56" i="57"/>
  <c r="P56" i="57"/>
  <c r="M56" i="57"/>
  <c r="L56" i="57"/>
  <c r="O56" i="57"/>
  <c r="F56" i="43"/>
  <c r="S56" i="57"/>
  <c r="Q56" i="57"/>
  <c r="U56" i="57"/>
  <c r="AB68" i="46"/>
  <c r="AD68" i="46"/>
  <c r="Z11" i="46"/>
  <c r="Y11" i="46"/>
  <c r="E9" i="56"/>
  <c r="S9" i="58"/>
  <c r="R9" i="58"/>
  <c r="U9" i="58"/>
  <c r="T9" i="58"/>
  <c r="Q9" i="58"/>
  <c r="O9" i="58"/>
  <c r="N9" i="58"/>
  <c r="M9" i="58"/>
  <c r="L9" i="58"/>
  <c r="P9" i="58"/>
  <c r="C15" i="51"/>
  <c r="K15" i="51" s="1"/>
  <c r="C14" i="51"/>
  <c r="K14" i="51" s="1"/>
  <c r="C16" i="51"/>
  <c r="K16" i="51" s="1"/>
  <c r="L44" i="57"/>
  <c r="T44" i="57"/>
  <c r="R44" i="57"/>
  <c r="Q44" i="57"/>
  <c r="N44" i="57"/>
  <c r="M44" i="57"/>
  <c r="F44" i="43"/>
  <c r="O44" i="57"/>
  <c r="U44" i="57"/>
  <c r="S44" i="57"/>
  <c r="P44" i="57"/>
  <c r="K30" i="57"/>
  <c r="M30" i="57" s="1"/>
  <c r="F13" i="35"/>
  <c r="I13" i="35"/>
  <c r="H13" i="35"/>
  <c r="Y16" i="56"/>
  <c r="K68" i="57"/>
  <c r="R68" i="57" s="1"/>
  <c r="M90" i="57"/>
  <c r="M95" i="57"/>
  <c r="T95" i="57"/>
  <c r="R95" i="57"/>
  <c r="P95" i="57"/>
  <c r="S32" i="57"/>
  <c r="R32" i="57"/>
  <c r="P32" i="57"/>
  <c r="N32" i="57"/>
  <c r="L32" i="57"/>
  <c r="F32" i="43"/>
  <c r="U32" i="57"/>
  <c r="T32" i="57"/>
  <c r="Q32" i="57"/>
  <c r="M32" i="57"/>
  <c r="O32" i="57"/>
  <c r="AD27" i="46"/>
  <c r="AI27" i="46" s="1"/>
  <c r="AJ27" i="46" s="1"/>
  <c r="AD79" i="46"/>
  <c r="AI79" i="46" s="1"/>
  <c r="AJ79" i="46" s="1"/>
  <c r="O152" i="14"/>
  <c r="N152" i="14"/>
  <c r="C29" i="34"/>
  <c r="C13" i="34"/>
  <c r="C28" i="34"/>
  <c r="C12" i="34"/>
  <c r="C27" i="34"/>
  <c r="C11" i="34"/>
  <c r="C33" i="34"/>
  <c r="C15" i="34"/>
  <c r="C31" i="34"/>
  <c r="C9" i="34"/>
  <c r="C26" i="34"/>
  <c r="C6" i="34"/>
  <c r="C24" i="34"/>
  <c r="C4" i="34"/>
  <c r="C22" i="34"/>
  <c r="C17" i="34"/>
  <c r="C16" i="34"/>
  <c r="C10" i="34"/>
  <c r="C8" i="34"/>
  <c r="C5" i="34"/>
  <c r="C32" i="34"/>
  <c r="C30" i="34"/>
  <c r="C25" i="34"/>
  <c r="C20" i="34"/>
  <c r="C19" i="34"/>
  <c r="Z19" i="46"/>
  <c r="AD15" i="46"/>
  <c r="AB15" i="46"/>
  <c r="AD94" i="46"/>
  <c r="AB94" i="46"/>
  <c r="AB95" i="46"/>
  <c r="AD95" i="46"/>
  <c r="AD16" i="46"/>
  <c r="AB16" i="46"/>
  <c r="K47" i="57"/>
  <c r="U47" i="57" s="1"/>
  <c r="P90" i="57"/>
  <c r="K124" i="57"/>
  <c r="K15" i="57"/>
  <c r="P108" i="57"/>
  <c r="U108" i="57"/>
  <c r="O108" i="57"/>
  <c r="R108" i="57"/>
  <c r="M108" i="57"/>
  <c r="T108" i="57"/>
  <c r="Q108" i="57"/>
  <c r="L108" i="57"/>
  <c r="F108" i="43"/>
  <c r="S108" i="57"/>
  <c r="N108" i="57"/>
  <c r="N13" i="58"/>
  <c r="U13" i="58"/>
  <c r="T13" i="58"/>
  <c r="S13" i="58"/>
  <c r="R13" i="58"/>
  <c r="Q13" i="58"/>
  <c r="O13" i="58"/>
  <c r="M13" i="58"/>
  <c r="E13" i="56"/>
  <c r="P13" i="58"/>
  <c r="L13" i="58"/>
  <c r="AD21" i="46"/>
  <c r="AM21" i="46" s="1"/>
  <c r="AO21" i="46" s="1"/>
  <c r="AP21" i="46" s="1"/>
  <c r="AB21" i="46"/>
  <c r="AD84" i="46"/>
  <c r="AI84" i="46" s="1"/>
  <c r="AJ84" i="46" s="1"/>
  <c r="AI69" i="46"/>
  <c r="AJ69" i="46" s="1"/>
  <c r="AM69" i="46"/>
  <c r="AO69" i="46" s="1"/>
  <c r="AP69" i="46" s="1"/>
  <c r="C7" i="51"/>
  <c r="C10" i="51"/>
  <c r="C6" i="51"/>
  <c r="K6" i="51" s="1"/>
  <c r="M96" i="46"/>
  <c r="M84" i="46"/>
  <c r="M71" i="46"/>
  <c r="M56" i="46"/>
  <c r="M43" i="46"/>
  <c r="M28" i="46"/>
  <c r="M15" i="46"/>
  <c r="M95" i="46"/>
  <c r="M83" i="46"/>
  <c r="M70" i="46"/>
  <c r="M55" i="46"/>
  <c r="M42" i="46"/>
  <c r="M27" i="46"/>
  <c r="M14" i="46"/>
  <c r="M94" i="46"/>
  <c r="M82" i="46"/>
  <c r="M69" i="46"/>
  <c r="M54" i="46"/>
  <c r="M41" i="46"/>
  <c r="M25" i="46"/>
  <c r="M13" i="46"/>
  <c r="M92" i="46"/>
  <c r="M79" i="46"/>
  <c r="M66" i="46"/>
  <c r="M52" i="46"/>
  <c r="M39" i="46"/>
  <c r="M23" i="46"/>
  <c r="M11" i="46"/>
  <c r="M90" i="46"/>
  <c r="M77" i="46"/>
  <c r="M64" i="46"/>
  <c r="M49" i="46"/>
  <c r="M37" i="46"/>
  <c r="M21" i="46"/>
  <c r="M9" i="46"/>
  <c r="M80" i="46"/>
  <c r="M59" i="46"/>
  <c r="M32" i="46"/>
  <c r="M10" i="46"/>
  <c r="M100" i="46"/>
  <c r="M78" i="46"/>
  <c r="M58" i="46"/>
  <c r="M8" i="46"/>
  <c r="M99" i="46"/>
  <c r="M76" i="46"/>
  <c r="M53" i="46"/>
  <c r="M30" i="46"/>
  <c r="M7" i="46"/>
  <c r="M98" i="46"/>
  <c r="M75" i="46"/>
  <c r="M51" i="46"/>
  <c r="M29" i="46"/>
  <c r="N4" i="46"/>
  <c r="M91" i="46"/>
  <c r="M72" i="46"/>
  <c r="M46" i="46"/>
  <c r="M20" i="46"/>
  <c r="M89" i="46"/>
  <c r="M68" i="46"/>
  <c r="M45" i="46"/>
  <c r="M19" i="46"/>
  <c r="M85" i="46"/>
  <c r="M36" i="46"/>
  <c r="M73" i="46"/>
  <c r="M22" i="46"/>
  <c r="M65" i="46"/>
  <c r="M18" i="46"/>
  <c r="M62" i="46"/>
  <c r="M17" i="46"/>
  <c r="M60" i="46"/>
  <c r="M12" i="46"/>
  <c r="M97" i="46"/>
  <c r="M48" i="46"/>
  <c r="M87" i="46"/>
  <c r="M86" i="46"/>
  <c r="M74" i="46"/>
  <c r="M61" i="46"/>
  <c r="M47" i="46"/>
  <c r="M40" i="46"/>
  <c r="M38" i="46"/>
  <c r="M93" i="46"/>
  <c r="M88" i="46"/>
  <c r="M44" i="46"/>
  <c r="M24" i="46"/>
  <c r="M16" i="46"/>
  <c r="AD47" i="46"/>
  <c r="AB47" i="46"/>
  <c r="W30" i="46"/>
  <c r="Z30" i="46"/>
  <c r="AQ30" i="46" s="1"/>
  <c r="AD10" i="46"/>
  <c r="AI10" i="46" s="1"/>
  <c r="AJ10" i="46" s="1"/>
  <c r="O57" i="57"/>
  <c r="T57" i="57"/>
  <c r="R57" i="57"/>
  <c r="P57" i="57"/>
  <c r="U57" i="57"/>
  <c r="S57" i="57"/>
  <c r="M57" i="57"/>
  <c r="L57" i="57"/>
  <c r="Q57" i="57"/>
  <c r="M11" i="58"/>
  <c r="U11" i="58"/>
  <c r="T11" i="58"/>
  <c r="Q11" i="58"/>
  <c r="P11" i="58"/>
  <c r="O11" i="58"/>
  <c r="N11" i="58"/>
  <c r="L11" i="58"/>
  <c r="S11" i="58"/>
  <c r="R11" i="58"/>
  <c r="E11" i="56"/>
  <c r="AB60" i="46"/>
  <c r="AD60" i="46"/>
  <c r="AI60" i="46" s="1"/>
  <c r="AJ60" i="46" s="1"/>
  <c r="K12" i="57"/>
  <c r="N12" i="57" s="1"/>
  <c r="K138" i="14"/>
  <c r="O110" i="14"/>
  <c r="N110" i="14"/>
  <c r="U89" i="57"/>
  <c r="R89" i="57"/>
  <c r="O89" i="57"/>
  <c r="N89" i="57"/>
  <c r="Q89" i="57"/>
  <c r="T89" i="57"/>
  <c r="F89" i="43"/>
  <c r="P89" i="57"/>
  <c r="L89" i="57"/>
  <c r="S89" i="57"/>
  <c r="M89" i="57"/>
  <c r="S26" i="58"/>
  <c r="Q26" i="58"/>
  <c r="O26" i="58"/>
  <c r="M26" i="58"/>
  <c r="L26" i="58"/>
  <c r="N26" i="58"/>
  <c r="E26" i="56"/>
  <c r="P26" i="58"/>
  <c r="U26" i="58"/>
  <c r="T26" i="58"/>
  <c r="R26" i="58"/>
  <c r="AB97" i="46"/>
  <c r="AD97" i="46"/>
  <c r="AD93" i="46"/>
  <c r="AI93" i="46" s="1"/>
  <c r="AJ93" i="46" s="1"/>
  <c r="I5" i="35"/>
  <c r="F5" i="35"/>
  <c r="P75" i="57"/>
  <c r="S75" i="57"/>
  <c r="N75" i="57"/>
  <c r="R75" i="57"/>
  <c r="U75" i="57"/>
  <c r="T75" i="57"/>
  <c r="M75" i="57"/>
  <c r="F75" i="43"/>
  <c r="L75" i="57"/>
  <c r="Q75" i="57"/>
  <c r="O75" i="57"/>
  <c r="Q26" i="57"/>
  <c r="N26" i="57"/>
  <c r="L26" i="57"/>
  <c r="U26" i="57"/>
  <c r="T26" i="57"/>
  <c r="S26" i="57"/>
  <c r="R26" i="57"/>
  <c r="P26" i="57"/>
  <c r="M26" i="57"/>
  <c r="F26" i="43"/>
  <c r="O26" i="57"/>
  <c r="U39" i="57"/>
  <c r="T39" i="57"/>
  <c r="R39" i="57"/>
  <c r="P39" i="57"/>
  <c r="O39" i="57"/>
  <c r="S39" i="57"/>
  <c r="Q39" i="57"/>
  <c r="M39" i="57"/>
  <c r="L39" i="57"/>
  <c r="N39" i="57"/>
  <c r="F39" i="43"/>
  <c r="N90" i="57"/>
  <c r="O156" i="14"/>
  <c r="N156" i="14"/>
  <c r="Q67" i="57"/>
  <c r="I12" i="35"/>
  <c r="F12" i="35"/>
  <c r="O95" i="14"/>
  <c r="N95" i="14"/>
  <c r="K123" i="14"/>
  <c r="P36" i="54"/>
  <c r="P37" i="54" s="1"/>
  <c r="AD22" i="46"/>
  <c r="AM22" i="46" s="1"/>
  <c r="AO22" i="46" s="1"/>
  <c r="AP22" i="46" s="1"/>
  <c r="K6" i="57"/>
  <c r="O6" i="57" s="1"/>
  <c r="T88" i="57"/>
  <c r="T5" i="58"/>
  <c r="P5" i="58"/>
  <c r="O5" i="58"/>
  <c r="E5" i="56"/>
  <c r="S5" i="58"/>
  <c r="R5" i="58"/>
  <c r="U5" i="58"/>
  <c r="Q5" i="58"/>
  <c r="N5" i="58"/>
  <c r="M5" i="58"/>
  <c r="L5" i="58"/>
  <c r="Y32" i="46"/>
  <c r="AB7" i="46"/>
  <c r="AD7" i="46"/>
  <c r="AD61" i="46"/>
  <c r="AI61" i="46" s="1"/>
  <c r="AJ61" i="46" s="1"/>
  <c r="AB11" i="46"/>
  <c r="AD11" i="46"/>
  <c r="O107" i="14"/>
  <c r="K135" i="14"/>
  <c r="N107" i="14"/>
  <c r="AM82" i="46"/>
  <c r="AO82" i="46" s="1"/>
  <c r="AP82" i="46" s="1"/>
  <c r="P62" i="57"/>
  <c r="F62" i="43"/>
  <c r="T62" i="57"/>
  <c r="R62" i="57"/>
  <c r="Q62" i="57"/>
  <c r="N62" i="57"/>
  <c r="M62" i="57"/>
  <c r="L62" i="57"/>
  <c r="U62" i="57"/>
  <c r="S62" i="57"/>
  <c r="O62" i="57"/>
  <c r="F6" i="35"/>
  <c r="H6" i="35"/>
  <c r="I6" i="35"/>
  <c r="K103" i="57"/>
  <c r="N103" i="57" s="1"/>
  <c r="W7" i="46"/>
  <c r="Z7" i="46"/>
  <c r="I7" i="35"/>
  <c r="F7" i="35"/>
  <c r="H7" i="35"/>
  <c r="K22" i="57"/>
  <c r="T22" i="57" s="1"/>
  <c r="K133" i="14"/>
  <c r="O105" i="14"/>
  <c r="N105" i="14"/>
  <c r="AB49" i="46"/>
  <c r="AD49" i="46"/>
  <c r="K99" i="57"/>
  <c r="U99" i="57" s="1"/>
  <c r="K110" i="57"/>
  <c r="N110" i="57" s="1"/>
  <c r="Z24" i="46"/>
  <c r="AQ24" i="46" s="1"/>
  <c r="K109" i="57"/>
  <c r="L109" i="57" s="1"/>
  <c r="K93" i="57"/>
  <c r="O93" i="57" s="1"/>
  <c r="N67" i="57"/>
  <c r="Z111" i="43"/>
  <c r="AD48" i="46"/>
  <c r="AI48" i="46" s="1"/>
  <c r="AJ48" i="46" s="1"/>
  <c r="S81" i="57"/>
  <c r="N81" i="57"/>
  <c r="Q81" i="57"/>
  <c r="O81" i="57"/>
  <c r="F81" i="43"/>
  <c r="T81" i="57"/>
  <c r="P81" i="57"/>
  <c r="Q118" i="57"/>
  <c r="F118" i="43"/>
  <c r="AI41" i="46"/>
  <c r="AJ41" i="46" s="1"/>
  <c r="AD38" i="46"/>
  <c r="AM38" i="46" s="1"/>
  <c r="AO38" i="46" s="1"/>
  <c r="AP38" i="46" s="1"/>
  <c r="AB38" i="46"/>
  <c r="AD80" i="46"/>
  <c r="AI80" i="46" s="1"/>
  <c r="AJ80" i="46" s="1"/>
  <c r="AD30" i="46"/>
  <c r="AI30" i="46" s="1"/>
  <c r="AJ30" i="46" s="1"/>
  <c r="I11" i="35"/>
  <c r="H11" i="35"/>
  <c r="F11" i="35"/>
  <c r="Y17" i="56"/>
  <c r="I10" i="35"/>
  <c r="H10" i="35"/>
  <c r="AB17" i="46"/>
  <c r="AD17" i="46"/>
  <c r="K149" i="14"/>
  <c r="N121" i="14"/>
  <c r="O121" i="14"/>
  <c r="Z25" i="46"/>
  <c r="AQ25" i="46" s="1"/>
  <c r="AB28" i="46"/>
  <c r="AD28" i="46"/>
  <c r="O155" i="14"/>
  <c r="N155" i="14"/>
  <c r="AD39" i="46"/>
  <c r="AB39" i="46"/>
  <c r="Q17" i="58"/>
  <c r="O17" i="58"/>
  <c r="M17" i="58"/>
  <c r="L17" i="58"/>
  <c r="U17" i="58"/>
  <c r="T17" i="58"/>
  <c r="S17" i="58"/>
  <c r="R17" i="58"/>
  <c r="P17" i="58"/>
  <c r="E17" i="56"/>
  <c r="N17" i="58"/>
  <c r="T90" i="57"/>
  <c r="O73" i="57"/>
  <c r="P73" i="57"/>
  <c r="Q73" i="57"/>
  <c r="S73" i="57"/>
  <c r="U73" i="57"/>
  <c r="L73" i="57"/>
  <c r="M73" i="57"/>
  <c r="R73" i="57"/>
  <c r="T73" i="57"/>
  <c r="F73" i="43"/>
  <c r="N73" i="57"/>
  <c r="W13" i="46"/>
  <c r="Z13" i="46"/>
  <c r="AQ13" i="46" s="1"/>
  <c r="K61" i="57"/>
  <c r="S61" i="57" s="1"/>
  <c r="K23" i="57"/>
  <c r="P23" i="57" s="1"/>
  <c r="K94" i="57"/>
  <c r="AD78" i="46"/>
  <c r="AI78" i="46" s="1"/>
  <c r="AJ78" i="46" s="1"/>
  <c r="N112" i="57"/>
  <c r="T112" i="57"/>
  <c r="M112" i="57"/>
  <c r="R112" i="57"/>
  <c r="P112" i="57"/>
  <c r="T107" i="57"/>
  <c r="R107" i="57"/>
  <c r="M107" i="57"/>
  <c r="Y99" i="46"/>
  <c r="AD91" i="46"/>
  <c r="AI91" i="46" s="1"/>
  <c r="AJ91" i="46" s="1"/>
  <c r="AB77" i="46"/>
  <c r="AD77" i="46"/>
  <c r="C86" i="49"/>
  <c r="C74" i="49"/>
  <c r="C62" i="49"/>
  <c r="C48" i="49"/>
  <c r="C35" i="49"/>
  <c r="C21" i="49"/>
  <c r="C9" i="49"/>
  <c r="C85" i="49"/>
  <c r="C84" i="49"/>
  <c r="C72" i="49"/>
  <c r="C59" i="49"/>
  <c r="C46" i="49"/>
  <c r="C33" i="49"/>
  <c r="C19" i="49"/>
  <c r="C7" i="49"/>
  <c r="C81" i="49"/>
  <c r="C67" i="49"/>
  <c r="C52" i="49"/>
  <c r="C36" i="49"/>
  <c r="C18" i="49"/>
  <c r="C4" i="49"/>
  <c r="C79" i="49"/>
  <c r="C65" i="49"/>
  <c r="C49" i="49"/>
  <c r="C32" i="49"/>
  <c r="C16" i="49"/>
  <c r="C77" i="49"/>
  <c r="C63" i="49"/>
  <c r="C45" i="49"/>
  <c r="C29" i="49"/>
  <c r="C14" i="49"/>
  <c r="C75" i="49"/>
  <c r="C58" i="49"/>
  <c r="C43" i="49"/>
  <c r="C27" i="49"/>
  <c r="C12" i="49"/>
  <c r="C89" i="49"/>
  <c r="C73" i="49"/>
  <c r="C57" i="49"/>
  <c r="C42" i="49"/>
  <c r="C26" i="49"/>
  <c r="C11" i="49"/>
  <c r="C71" i="49"/>
  <c r="C47" i="49"/>
  <c r="C20" i="49"/>
  <c r="C70" i="49"/>
  <c r="C44" i="49"/>
  <c r="C17" i="49"/>
  <c r="C69" i="49"/>
  <c r="C40" i="49"/>
  <c r="C15" i="49"/>
  <c r="C68" i="49"/>
  <c r="C39" i="49"/>
  <c r="C13" i="49"/>
  <c r="C66" i="49"/>
  <c r="C38" i="49"/>
  <c r="C10" i="49"/>
  <c r="C87" i="49"/>
  <c r="C60" i="49"/>
  <c r="C34" i="49"/>
  <c r="C6" i="49"/>
  <c r="C83" i="49"/>
  <c r="C56" i="49"/>
  <c r="C31" i="49"/>
  <c r="C5" i="49"/>
  <c r="C76" i="49"/>
  <c r="C64" i="49"/>
  <c r="C78" i="49"/>
  <c r="C55" i="49"/>
  <c r="C54" i="49"/>
  <c r="C53" i="49"/>
  <c r="C51" i="49"/>
  <c r="C37" i="49"/>
  <c r="C8" i="49"/>
  <c r="C28" i="49"/>
  <c r="C22" i="49"/>
  <c r="C88" i="49"/>
  <c r="C24" i="49"/>
  <c r="C82" i="49"/>
  <c r="C80" i="49"/>
  <c r="C23" i="49"/>
  <c r="Z71" i="46"/>
  <c r="AQ71" i="46" s="1"/>
  <c r="W9" i="46"/>
  <c r="Y9" i="46"/>
  <c r="Z9" i="46"/>
  <c r="R88" i="57"/>
  <c r="N88" i="57"/>
  <c r="Q88" i="57"/>
  <c r="F88" i="43"/>
  <c r="S88" i="57"/>
  <c r="P88" i="57"/>
  <c r="L88" i="57"/>
  <c r="U88" i="57"/>
  <c r="K45" i="57"/>
  <c r="AD37" i="46"/>
  <c r="AB37" i="46"/>
  <c r="AB9" i="46"/>
  <c r="AD9" i="46"/>
  <c r="AD85" i="46"/>
  <c r="AI85" i="46" s="1"/>
  <c r="AJ85" i="46" s="1"/>
  <c r="L13" i="73"/>
  <c r="L8" i="53"/>
  <c r="F121" i="43"/>
  <c r="P121" i="57"/>
  <c r="S121" i="57"/>
  <c r="U121" i="57"/>
  <c r="N121" i="57"/>
  <c r="M121" i="57"/>
  <c r="T121" i="57"/>
  <c r="Q121" i="57"/>
  <c r="O121" i="57"/>
  <c r="L121" i="57"/>
  <c r="R121" i="57"/>
  <c r="S102" i="57"/>
  <c r="R102" i="57"/>
  <c r="M102" i="57"/>
  <c r="F102" i="43"/>
  <c r="O102" i="57"/>
  <c r="N102" i="57"/>
  <c r="L102" i="57"/>
  <c r="Z14" i="46"/>
  <c r="Z91" i="46"/>
  <c r="AQ91" i="46" s="1"/>
  <c r="N96" i="57"/>
  <c r="T96" i="57"/>
  <c r="S96" i="57"/>
  <c r="P96" i="57"/>
  <c r="M96" i="57"/>
  <c r="O96" i="57"/>
  <c r="F116" i="43"/>
  <c r="Q116" i="57"/>
  <c r="L116" i="57"/>
  <c r="U116" i="57"/>
  <c r="T116" i="57"/>
  <c r="R116" i="57"/>
  <c r="M116" i="57"/>
  <c r="O116" i="57"/>
  <c r="N116" i="57"/>
  <c r="P116" i="57"/>
  <c r="S116" i="57"/>
  <c r="R20" i="76"/>
  <c r="V20" i="76" s="1"/>
  <c r="Z20" i="76" s="1"/>
  <c r="AD20" i="76" s="1"/>
  <c r="AH20" i="76" s="1"/>
  <c r="AL20" i="76" s="1"/>
  <c r="AP20" i="76" s="1"/>
  <c r="AT20" i="76" s="1"/>
  <c r="AX20" i="76" s="1"/>
  <c r="BB20" i="76" s="1"/>
  <c r="BF20" i="76" s="1"/>
  <c r="BJ20" i="76" s="1"/>
  <c r="BN20" i="76" s="1"/>
  <c r="BR20" i="76" s="1"/>
  <c r="BV20" i="76" s="1"/>
  <c r="O53" i="57"/>
  <c r="M53" i="57"/>
  <c r="L53" i="57"/>
  <c r="F53" i="43"/>
  <c r="T53" i="57"/>
  <c r="R53" i="57"/>
  <c r="U53" i="57"/>
  <c r="S53" i="57"/>
  <c r="Q53" i="57"/>
  <c r="P53" i="57"/>
  <c r="N53" i="57"/>
  <c r="P18" i="57"/>
  <c r="M18" i="57"/>
  <c r="U18" i="57"/>
  <c r="S18" i="57"/>
  <c r="T18" i="57"/>
  <c r="R18" i="57"/>
  <c r="Q18" i="57"/>
  <c r="O18" i="57"/>
  <c r="N18" i="57"/>
  <c r="L18" i="57"/>
  <c r="F18" i="43"/>
  <c r="L64" i="57"/>
  <c r="F64" i="43"/>
  <c r="S64" i="57"/>
  <c r="Q64" i="57"/>
  <c r="U64" i="57"/>
  <c r="T64" i="57"/>
  <c r="R64" i="57"/>
  <c r="P64" i="57"/>
  <c r="P129" i="57"/>
  <c r="U129" i="57"/>
  <c r="T129" i="57"/>
  <c r="S129" i="57"/>
  <c r="R129" i="57"/>
  <c r="N129" i="57"/>
  <c r="L129" i="57"/>
  <c r="O129" i="57"/>
  <c r="M129" i="57"/>
  <c r="F129" i="43"/>
  <c r="Q129" i="57"/>
  <c r="R12" i="57"/>
  <c r="P93" i="57"/>
  <c r="Z12" i="56"/>
  <c r="N98" i="57"/>
  <c r="L98" i="57"/>
  <c r="F98" i="43"/>
  <c r="T98" i="57"/>
  <c r="U35" i="57"/>
  <c r="R35" i="57"/>
  <c r="N35" i="57"/>
  <c r="L35" i="57"/>
  <c r="T35" i="57"/>
  <c r="S35" i="57"/>
  <c r="Q35" i="57"/>
  <c r="O35" i="57"/>
  <c r="M35" i="57"/>
  <c r="P35" i="57"/>
  <c r="F35" i="43"/>
  <c r="Y6" i="56"/>
  <c r="Z7" i="56" s="1"/>
  <c r="O29" i="57"/>
  <c r="L29" i="57"/>
  <c r="T29" i="57"/>
  <c r="R29" i="57"/>
  <c r="U29" i="57"/>
  <c r="S29" i="57"/>
  <c r="Q29" i="57"/>
  <c r="N29" i="57"/>
  <c r="M29" i="57"/>
  <c r="F29" i="43"/>
  <c r="P29" i="57"/>
  <c r="W74" i="46"/>
  <c r="Z74" i="46"/>
  <c r="AQ74" i="46" s="1"/>
  <c r="O167" i="14"/>
  <c r="N167" i="14"/>
  <c r="R113" i="57"/>
  <c r="Q113" i="57"/>
  <c r="M113" i="57"/>
  <c r="L113" i="57"/>
  <c r="S113" i="57"/>
  <c r="T113" i="57"/>
  <c r="O113" i="57"/>
  <c r="N113" i="57"/>
  <c r="F113" i="43"/>
  <c r="P113" i="57"/>
  <c r="U113" i="57"/>
  <c r="R82" i="57"/>
  <c r="U82" i="57"/>
  <c r="L82" i="57"/>
  <c r="O82" i="57"/>
  <c r="Q82" i="57"/>
  <c r="T82" i="57"/>
  <c r="S82" i="57"/>
  <c r="P82" i="57"/>
  <c r="N82" i="57"/>
  <c r="M82" i="57"/>
  <c r="F82" i="43"/>
  <c r="T49" i="57"/>
  <c r="S49" i="57"/>
  <c r="P49" i="57"/>
  <c r="N49" i="57"/>
  <c r="O49" i="57"/>
  <c r="M49" i="57"/>
  <c r="L34" i="57"/>
  <c r="U34" i="57"/>
  <c r="Q87" i="57"/>
  <c r="U87" i="57"/>
  <c r="M87" i="57"/>
  <c r="O87" i="57"/>
  <c r="P84" i="57"/>
  <c r="M84" i="57"/>
  <c r="N84" i="57"/>
  <c r="F84" i="43"/>
  <c r="O84" i="57"/>
  <c r="S84" i="57"/>
  <c r="Q84" i="57"/>
  <c r="T84" i="57"/>
  <c r="U84" i="57"/>
  <c r="L84" i="57"/>
  <c r="R84" i="57"/>
  <c r="R115" i="57"/>
  <c r="N115" i="57"/>
  <c r="P115" i="57"/>
  <c r="Q115" i="57"/>
  <c r="S115" i="57"/>
  <c r="T115" i="57"/>
  <c r="O115" i="57"/>
  <c r="M115" i="57"/>
  <c r="F115" i="43"/>
  <c r="U115" i="57"/>
  <c r="L115" i="57"/>
  <c r="R67" i="45"/>
  <c r="D20" i="59" s="1"/>
  <c r="S21" i="57"/>
  <c r="P21" i="57"/>
  <c r="L21" i="57"/>
  <c r="Q21" i="57"/>
  <c r="O21" i="57"/>
  <c r="N21" i="57"/>
  <c r="M21" i="57"/>
  <c r="F21" i="43"/>
  <c r="U21" i="57"/>
  <c r="R21" i="57"/>
  <c r="T21" i="57"/>
  <c r="K21" i="34"/>
  <c r="J21" i="34"/>
  <c r="H21" i="34"/>
  <c r="Z6" i="43"/>
  <c r="J39" i="77"/>
  <c r="E41" i="77" s="1"/>
  <c r="R78" i="57"/>
  <c r="K31" i="57"/>
  <c r="O126" i="57"/>
  <c r="T126" i="57"/>
  <c r="S126" i="57"/>
  <c r="R126" i="57"/>
  <c r="Q126" i="57"/>
  <c r="P126" i="57"/>
  <c r="L126" i="57"/>
  <c r="U126" i="57"/>
  <c r="N126" i="57"/>
  <c r="M126" i="57"/>
  <c r="F126" i="43"/>
  <c r="W22" i="46"/>
  <c r="Z22" i="46"/>
  <c r="Z114" i="43"/>
  <c r="Z87" i="43"/>
  <c r="P103" i="57"/>
  <c r="K134" i="14"/>
  <c r="O106" i="14"/>
  <c r="N106" i="14"/>
  <c r="T9" i="57"/>
  <c r="R9" i="57"/>
  <c r="N92" i="57"/>
  <c r="M92" i="57"/>
  <c r="L92" i="57"/>
  <c r="N72" i="57"/>
  <c r="O72" i="57"/>
  <c r="P72" i="57"/>
  <c r="Q72" i="57"/>
  <c r="R72" i="57"/>
  <c r="L76" i="57"/>
  <c r="R76" i="57"/>
  <c r="N76" i="57"/>
  <c r="U76" i="57"/>
  <c r="M76" i="57"/>
  <c r="S76" i="57"/>
  <c r="F76" i="43"/>
  <c r="Q76" i="57"/>
  <c r="P76" i="57"/>
  <c r="T48" i="57"/>
  <c r="S48" i="57"/>
  <c r="R48" i="57"/>
  <c r="O48" i="57"/>
  <c r="M48" i="57"/>
  <c r="U48" i="57"/>
  <c r="Q48" i="57"/>
  <c r="P48" i="57"/>
  <c r="N48" i="57"/>
  <c r="F48" i="43"/>
  <c r="L48" i="57"/>
  <c r="P122" i="57"/>
  <c r="L122" i="57"/>
  <c r="M122" i="57"/>
  <c r="U122" i="57"/>
  <c r="N122" i="57"/>
  <c r="Q122" i="57"/>
  <c r="O122" i="57"/>
  <c r="F122" i="43"/>
  <c r="T122" i="57"/>
  <c r="R122" i="57"/>
  <c r="S122" i="57"/>
  <c r="T17" i="57"/>
  <c r="R17" i="57"/>
  <c r="F79" i="43"/>
  <c r="R79" i="57"/>
  <c r="S36" i="57"/>
  <c r="O36" i="57"/>
  <c r="M36" i="57"/>
  <c r="P36" i="57"/>
  <c r="N36" i="57"/>
  <c r="L36" i="57"/>
  <c r="F36" i="43"/>
  <c r="U36" i="57"/>
  <c r="T36" i="57"/>
  <c r="Q36" i="57"/>
  <c r="R36" i="57"/>
  <c r="T71" i="57"/>
  <c r="U71" i="57"/>
  <c r="L71" i="57"/>
  <c r="M71" i="57"/>
  <c r="N125" i="57"/>
  <c r="R125" i="57"/>
  <c r="Q125" i="57"/>
  <c r="P125" i="57"/>
  <c r="O125" i="57"/>
  <c r="M125" i="57"/>
  <c r="U125" i="57"/>
  <c r="S125" i="57"/>
  <c r="L125" i="57"/>
  <c r="T125" i="57"/>
  <c r="F125" i="43"/>
  <c r="Q19" i="57"/>
  <c r="N19" i="57"/>
  <c r="T19" i="57"/>
  <c r="U19" i="57"/>
  <c r="S19" i="57"/>
  <c r="R19" i="57"/>
  <c r="O19" i="57"/>
  <c r="M19" i="57"/>
  <c r="F19" i="43"/>
  <c r="P19" i="57"/>
  <c r="L19" i="57"/>
  <c r="S30" i="57"/>
  <c r="O30" i="57"/>
  <c r="N30" i="57"/>
  <c r="L30" i="57"/>
  <c r="F30" i="43"/>
  <c r="T30" i="57"/>
  <c r="Q30" i="57"/>
  <c r="R30" i="57"/>
  <c r="M86" i="57"/>
  <c r="S86" i="57"/>
  <c r="P86" i="57"/>
  <c r="O97" i="57"/>
  <c r="L97" i="57"/>
  <c r="U97" i="57"/>
  <c r="R97" i="57"/>
  <c r="P97" i="57"/>
  <c r="T97" i="57"/>
  <c r="S97" i="57"/>
  <c r="Q97" i="57"/>
  <c r="M97" i="57"/>
  <c r="F97" i="43"/>
  <c r="N97" i="57"/>
  <c r="Y22" i="46"/>
  <c r="Z85" i="43"/>
  <c r="Z113" i="43"/>
  <c r="AQ38" i="46" l="1"/>
  <c r="N35" i="46"/>
  <c r="X35" i="46" s="1"/>
  <c r="N34" i="46"/>
  <c r="X34" i="46" s="1"/>
  <c r="N33" i="46"/>
  <c r="X33" i="46" s="1"/>
  <c r="AQ41" i="46"/>
  <c r="AQ34" i="45"/>
  <c r="AM8" i="45"/>
  <c r="AO8" i="45" s="1"/>
  <c r="AP8" i="45" s="1"/>
  <c r="AI8" i="45"/>
  <c r="AJ8" i="45" s="1"/>
  <c r="AQ24" i="45"/>
  <c r="AI33" i="45"/>
  <c r="AJ33" i="45" s="1"/>
  <c r="AM33" i="45"/>
  <c r="AO33" i="45" s="1"/>
  <c r="AP33" i="45" s="1"/>
  <c r="AQ33" i="45" s="1"/>
  <c r="D4" i="59"/>
  <c r="AP17" i="45"/>
  <c r="AQ17" i="45" s="1"/>
  <c r="AI17" i="45"/>
  <c r="AJ17" i="45" s="1"/>
  <c r="AJ69" i="45" s="1"/>
  <c r="L14" i="59" s="1"/>
  <c r="AQ55" i="46"/>
  <c r="AI22" i="46"/>
  <c r="AJ22" i="46" s="1"/>
  <c r="AQ19" i="46"/>
  <c r="AQ22" i="46"/>
  <c r="AM60" i="46"/>
  <c r="AO60" i="46" s="1"/>
  <c r="AP60" i="46" s="1"/>
  <c r="AQ60" i="46" s="1"/>
  <c r="AI38" i="46"/>
  <c r="AJ38" i="46" s="1"/>
  <c r="T12" i="57"/>
  <c r="N13" i="57"/>
  <c r="F13" i="43"/>
  <c r="M33" i="57"/>
  <c r="F33" i="43"/>
  <c r="L16" i="57"/>
  <c r="P33" i="57"/>
  <c r="U49" i="57"/>
  <c r="P6" i="57"/>
  <c r="F71" i="43"/>
  <c r="L10" i="58"/>
  <c r="S71" i="57"/>
  <c r="N16" i="57"/>
  <c r="V16" i="57" s="1"/>
  <c r="J16" i="43" s="1"/>
  <c r="L16" i="43" s="1"/>
  <c r="N71" i="57"/>
  <c r="V71" i="57" s="1"/>
  <c r="J71" i="43" s="1"/>
  <c r="L71" i="43" s="1"/>
  <c r="R25" i="57"/>
  <c r="V25" i="57" s="1"/>
  <c r="J25" i="43" s="1"/>
  <c r="P79" i="57"/>
  <c r="S13" i="57"/>
  <c r="M67" i="57"/>
  <c r="N95" i="57"/>
  <c r="N27" i="57"/>
  <c r="P25" i="57"/>
  <c r="U12" i="57"/>
  <c r="P13" i="57"/>
  <c r="Q33" i="57"/>
  <c r="R33" i="57"/>
  <c r="S25" i="57"/>
  <c r="M13" i="57"/>
  <c r="M16" i="57"/>
  <c r="F24" i="43"/>
  <c r="Q10" i="58"/>
  <c r="F49" i="43"/>
  <c r="N24" i="57"/>
  <c r="V24" i="57" s="1"/>
  <c r="J24" i="43" s="1"/>
  <c r="R10" i="58"/>
  <c r="T33" i="57"/>
  <c r="R16" i="57"/>
  <c r="P24" i="57"/>
  <c r="U10" i="58"/>
  <c r="O33" i="57"/>
  <c r="T16" i="57"/>
  <c r="Q24" i="57"/>
  <c r="Q102" i="57"/>
  <c r="R67" i="57"/>
  <c r="V67" i="57" s="1"/>
  <c r="J67" i="43" s="1"/>
  <c r="E10" i="56"/>
  <c r="U33" i="57"/>
  <c r="O16" i="57"/>
  <c r="S10" i="58"/>
  <c r="N33" i="57"/>
  <c r="S16" i="57"/>
  <c r="N6" i="57"/>
  <c r="M24" i="57"/>
  <c r="U102" i="57"/>
  <c r="T10" i="58"/>
  <c r="U16" i="57"/>
  <c r="T24" i="57"/>
  <c r="S95" i="57"/>
  <c r="L95" i="57"/>
  <c r="L13" i="57"/>
  <c r="V13" i="57" s="1"/>
  <c r="J13" i="43" s="1"/>
  <c r="T25" i="57"/>
  <c r="T13" i="57"/>
  <c r="F25" i="43"/>
  <c r="P16" i="57"/>
  <c r="R24" i="57"/>
  <c r="S33" i="57"/>
  <c r="Q16" i="57"/>
  <c r="O24" i="57"/>
  <c r="R71" i="57"/>
  <c r="Q25" i="57"/>
  <c r="N79" i="57"/>
  <c r="Q13" i="57"/>
  <c r="L38" i="57"/>
  <c r="O95" i="57"/>
  <c r="U25" i="57"/>
  <c r="P10" i="58"/>
  <c r="U24" i="57"/>
  <c r="O10" i="58"/>
  <c r="N10" i="58"/>
  <c r="S24" i="57"/>
  <c r="Q71" i="57"/>
  <c r="L25" i="57"/>
  <c r="S79" i="57"/>
  <c r="U13" i="57"/>
  <c r="S67" i="57"/>
  <c r="Q95" i="57"/>
  <c r="P67" i="57"/>
  <c r="U95" i="57"/>
  <c r="N25" i="57"/>
  <c r="R6" i="57"/>
  <c r="P71" i="57"/>
  <c r="M25" i="57"/>
  <c r="T79" i="57"/>
  <c r="O13" i="57"/>
  <c r="L67" i="57"/>
  <c r="L79" i="57"/>
  <c r="T67" i="57"/>
  <c r="Q103" i="57"/>
  <c r="M12" i="57"/>
  <c r="M103" i="57"/>
  <c r="O12" i="57"/>
  <c r="U112" i="57"/>
  <c r="P98" i="57"/>
  <c r="U96" i="57"/>
  <c r="Q112" i="57"/>
  <c r="N57" i="57"/>
  <c r="V33" i="57"/>
  <c r="J33" i="43" s="1"/>
  <c r="L33" i="43" s="1"/>
  <c r="L52" i="57"/>
  <c r="N80" i="57"/>
  <c r="Q104" i="57"/>
  <c r="P119" i="57"/>
  <c r="L112" i="57"/>
  <c r="Q20" i="57"/>
  <c r="V70" i="57"/>
  <c r="J70" i="43" s="1"/>
  <c r="N10" i="57"/>
  <c r="Q80" i="57"/>
  <c r="T104" i="57"/>
  <c r="N66" i="57"/>
  <c r="N119" i="57"/>
  <c r="T18" i="58"/>
  <c r="T118" i="57"/>
  <c r="F20" i="43"/>
  <c r="U18" i="58"/>
  <c r="M118" i="57"/>
  <c r="R10" i="57"/>
  <c r="F104" i="43"/>
  <c r="Q66" i="57"/>
  <c r="O119" i="57"/>
  <c r="M18" i="58"/>
  <c r="N118" i="57"/>
  <c r="Q27" i="57"/>
  <c r="V83" i="57"/>
  <c r="J83" i="43" s="1"/>
  <c r="L83" i="43" s="1"/>
  <c r="R104" i="57"/>
  <c r="P66" i="57"/>
  <c r="S10" i="57"/>
  <c r="L10" i="57"/>
  <c r="U17" i="57"/>
  <c r="L104" i="57"/>
  <c r="Q6" i="57"/>
  <c r="N18" i="58"/>
  <c r="O118" i="57"/>
  <c r="R85" i="57"/>
  <c r="S27" i="57"/>
  <c r="T50" i="57"/>
  <c r="F51" i="43"/>
  <c r="N52" i="57"/>
  <c r="P104" i="57"/>
  <c r="M119" i="57"/>
  <c r="L119" i="57"/>
  <c r="N20" i="57"/>
  <c r="O104" i="57"/>
  <c r="U104" i="57"/>
  <c r="Q119" i="57"/>
  <c r="O10" i="57"/>
  <c r="Q18" i="58"/>
  <c r="P118" i="57"/>
  <c r="O85" i="57"/>
  <c r="N22" i="58"/>
  <c r="T27" i="57"/>
  <c r="S50" i="57"/>
  <c r="N17" i="57"/>
  <c r="Q17" i="57"/>
  <c r="T58" i="57"/>
  <c r="R96" i="57"/>
  <c r="S18" i="58"/>
  <c r="R118" i="57"/>
  <c r="Q85" i="57"/>
  <c r="Q22" i="58"/>
  <c r="U27" i="57"/>
  <c r="U50" i="57"/>
  <c r="T20" i="57"/>
  <c r="O112" i="57"/>
  <c r="F107" i="43"/>
  <c r="O18" i="58"/>
  <c r="S118" i="57"/>
  <c r="S85" i="57"/>
  <c r="R22" i="58"/>
  <c r="F27" i="43"/>
  <c r="F50" i="43"/>
  <c r="F52" i="43"/>
  <c r="F12" i="43"/>
  <c r="F96" i="43"/>
  <c r="S107" i="57"/>
  <c r="U118" i="57"/>
  <c r="Q38" i="57"/>
  <c r="T85" i="57"/>
  <c r="M27" i="57"/>
  <c r="R50" i="57"/>
  <c r="F80" i="43"/>
  <c r="U119" i="57"/>
  <c r="S112" i="57"/>
  <c r="O20" i="57"/>
  <c r="S17" i="57"/>
  <c r="Q96" i="57"/>
  <c r="V96" i="57" s="1"/>
  <c r="J96" i="43" s="1"/>
  <c r="F17" i="43"/>
  <c r="L12" i="57"/>
  <c r="U30" i="57"/>
  <c r="M17" i="57"/>
  <c r="N22" i="57"/>
  <c r="Q12" i="57"/>
  <c r="P102" i="57"/>
  <c r="U107" i="57"/>
  <c r="F38" i="43"/>
  <c r="L27" i="57"/>
  <c r="AQ82" i="46"/>
  <c r="AQ69" i="46"/>
  <c r="AQ21" i="46"/>
  <c r="O154" i="14"/>
  <c r="N154" i="14"/>
  <c r="K148" i="14"/>
  <c r="O120" i="14"/>
  <c r="N120" i="14"/>
  <c r="O164" i="14"/>
  <c r="N164" i="14"/>
  <c r="O160" i="14"/>
  <c r="N160" i="14"/>
  <c r="O159" i="14"/>
  <c r="N159" i="14"/>
  <c r="O140" i="14"/>
  <c r="N140" i="14"/>
  <c r="K168" i="14"/>
  <c r="R66" i="57"/>
  <c r="L66" i="57"/>
  <c r="L28" i="57"/>
  <c r="P127" i="57"/>
  <c r="F92" i="43"/>
  <c r="U60" i="57"/>
  <c r="R127" i="57"/>
  <c r="U5" i="57"/>
  <c r="P17" i="57"/>
  <c r="O76" i="57"/>
  <c r="V76" i="57" s="1"/>
  <c r="J76" i="43" s="1"/>
  <c r="U92" i="57"/>
  <c r="F61" i="43"/>
  <c r="U43" i="57"/>
  <c r="S52" i="57"/>
  <c r="R98" i="57"/>
  <c r="M104" i="57"/>
  <c r="R58" i="57"/>
  <c r="M64" i="57"/>
  <c r="S66" i="57"/>
  <c r="R18" i="58"/>
  <c r="T38" i="57"/>
  <c r="U85" i="57"/>
  <c r="U106" i="57"/>
  <c r="S100" i="57"/>
  <c r="M50" i="57"/>
  <c r="L17" i="57"/>
  <c r="N46" i="57"/>
  <c r="T22" i="58"/>
  <c r="S5" i="57"/>
  <c r="F127" i="43"/>
  <c r="T7" i="57"/>
  <c r="U10" i="57"/>
  <c r="M105" i="57"/>
  <c r="L60" i="57"/>
  <c r="Q127" i="57"/>
  <c r="T80" i="57"/>
  <c r="P46" i="57"/>
  <c r="O5" i="57"/>
  <c r="U58" i="57"/>
  <c r="P100" i="57"/>
  <c r="P92" i="57"/>
  <c r="U127" i="57"/>
  <c r="O66" i="57"/>
  <c r="R80" i="57"/>
  <c r="M100" i="57"/>
  <c r="Z21" i="56"/>
  <c r="U100" i="57"/>
  <c r="T66" i="57"/>
  <c r="F106" i="43"/>
  <c r="O110" i="57"/>
  <c r="U80" i="57"/>
  <c r="N100" i="57"/>
  <c r="N105" i="57"/>
  <c r="T46" i="57"/>
  <c r="F5" i="43"/>
  <c r="O58" i="57"/>
  <c r="T14" i="57"/>
  <c r="F100" i="43"/>
  <c r="O50" i="57"/>
  <c r="F60" i="43"/>
  <c r="T105" i="57"/>
  <c r="L58" i="57"/>
  <c r="F66" i="43"/>
  <c r="M127" i="57"/>
  <c r="V101" i="57"/>
  <c r="J101" i="43" s="1"/>
  <c r="K101" i="43" s="1"/>
  <c r="R5" i="57"/>
  <c r="N60" i="57"/>
  <c r="M10" i="57"/>
  <c r="R46" i="57"/>
  <c r="T10" i="57"/>
  <c r="S58" i="57"/>
  <c r="M85" i="57"/>
  <c r="S127" i="57"/>
  <c r="F105" i="43"/>
  <c r="F10" i="43"/>
  <c r="Q5" i="57"/>
  <c r="P60" i="57"/>
  <c r="Q60" i="57"/>
  <c r="N106" i="57"/>
  <c r="N127" i="57"/>
  <c r="O46" i="57"/>
  <c r="S12" i="57"/>
  <c r="O127" i="57"/>
  <c r="S110" i="57"/>
  <c r="P10" i="57"/>
  <c r="S80" i="57"/>
  <c r="L5" i="57"/>
  <c r="Q46" i="57"/>
  <c r="L80" i="57"/>
  <c r="T5" i="57"/>
  <c r="N58" i="57"/>
  <c r="R14" i="57"/>
  <c r="U105" i="57"/>
  <c r="R105" i="57"/>
  <c r="R43" i="57"/>
  <c r="U98" i="57"/>
  <c r="M38" i="57"/>
  <c r="L100" i="57"/>
  <c r="S105" i="57"/>
  <c r="M60" i="57"/>
  <c r="F58" i="43"/>
  <c r="N14" i="57"/>
  <c r="N38" i="57"/>
  <c r="N85" i="57"/>
  <c r="O100" i="57"/>
  <c r="N50" i="57"/>
  <c r="U79" i="57"/>
  <c r="Q105" i="57"/>
  <c r="R92" i="57"/>
  <c r="O60" i="57"/>
  <c r="L43" i="57"/>
  <c r="R49" i="57"/>
  <c r="O98" i="57"/>
  <c r="P5" i="57"/>
  <c r="M58" i="57"/>
  <c r="O14" i="57"/>
  <c r="E18" i="56"/>
  <c r="P38" i="57"/>
  <c r="P85" i="57"/>
  <c r="P106" i="57"/>
  <c r="R100" i="57"/>
  <c r="P50" i="57"/>
  <c r="M79" i="57"/>
  <c r="L105" i="57"/>
  <c r="T92" i="57"/>
  <c r="R60" i="57"/>
  <c r="P43" i="57"/>
  <c r="Q49" i="57"/>
  <c r="Q98" i="57"/>
  <c r="N104" i="57"/>
  <c r="P58" i="57"/>
  <c r="S6" i="57"/>
  <c r="N107" i="57"/>
  <c r="L18" i="58"/>
  <c r="R38" i="57"/>
  <c r="F85" i="43"/>
  <c r="O106" i="57"/>
  <c r="T100" i="57"/>
  <c r="Q50" i="57"/>
  <c r="M106" i="57"/>
  <c r="L46" i="57"/>
  <c r="M66" i="57"/>
  <c r="N5" i="57"/>
  <c r="M110" i="57"/>
  <c r="F46" i="43"/>
  <c r="R7" i="57"/>
  <c r="M46" i="57"/>
  <c r="P105" i="57"/>
  <c r="L127" i="57"/>
  <c r="Q92" i="57"/>
  <c r="O80" i="57"/>
  <c r="P80" i="57"/>
  <c r="F14" i="43"/>
  <c r="Q79" i="57"/>
  <c r="O92" i="57"/>
  <c r="F43" i="43"/>
  <c r="M98" i="57"/>
  <c r="S60" i="57"/>
  <c r="S43" i="57"/>
  <c r="Q52" i="57"/>
  <c r="L107" i="57"/>
  <c r="U38" i="57"/>
  <c r="P34" i="57"/>
  <c r="F59" i="43"/>
  <c r="P22" i="58"/>
  <c r="T41" i="57"/>
  <c r="P87" i="57"/>
  <c r="S7" i="57"/>
  <c r="O86" i="57"/>
  <c r="S72" i="57"/>
  <c r="O41" i="57"/>
  <c r="M78" i="57"/>
  <c r="U61" i="57"/>
  <c r="N87" i="57"/>
  <c r="U52" i="57"/>
  <c r="R110" i="57"/>
  <c r="P12" i="57"/>
  <c r="O64" i="57"/>
  <c r="R119" i="57"/>
  <c r="P107" i="57"/>
  <c r="P7" i="57"/>
  <c r="S38" i="57"/>
  <c r="M22" i="58"/>
  <c r="R93" i="57"/>
  <c r="F93" i="43"/>
  <c r="R20" i="57"/>
  <c r="M43" i="57"/>
  <c r="O47" i="57"/>
  <c r="L54" i="57"/>
  <c r="N43" i="57"/>
  <c r="M34" i="57"/>
  <c r="S40" i="57"/>
  <c r="T47" i="57"/>
  <c r="M59" i="57"/>
  <c r="N55" i="57"/>
  <c r="S63" i="57"/>
  <c r="L20" i="57"/>
  <c r="R28" i="57"/>
  <c r="T28" i="57"/>
  <c r="T54" i="57"/>
  <c r="O63" i="57"/>
  <c r="S20" i="57"/>
  <c r="Q37" i="57"/>
  <c r="P78" i="57"/>
  <c r="O43" i="57"/>
  <c r="O55" i="57"/>
  <c r="M28" i="57"/>
  <c r="P28" i="57"/>
  <c r="N34" i="57"/>
  <c r="T43" i="57"/>
  <c r="Q40" i="57"/>
  <c r="T78" i="57"/>
  <c r="P30" i="57"/>
  <c r="R37" i="57"/>
  <c r="F40" i="43"/>
  <c r="O59" i="57"/>
  <c r="T63" i="57"/>
  <c r="P20" i="57"/>
  <c r="S37" i="57"/>
  <c r="L78" i="57"/>
  <c r="N54" i="57"/>
  <c r="T34" i="57"/>
  <c r="L40" i="57"/>
  <c r="M47" i="57"/>
  <c r="T59" i="57"/>
  <c r="O28" i="57"/>
  <c r="L9" i="57"/>
  <c r="R109" i="57"/>
  <c r="F119" i="43"/>
  <c r="L37" i="57"/>
  <c r="R34" i="57"/>
  <c r="O37" i="57"/>
  <c r="F34" i="43"/>
  <c r="M55" i="57"/>
  <c r="U63" i="57"/>
  <c r="M54" i="57"/>
  <c r="Q34" i="57"/>
  <c r="F47" i="43"/>
  <c r="Q86" i="57"/>
  <c r="O7" i="57"/>
  <c r="F63" i="43"/>
  <c r="R86" i="57"/>
  <c r="U37" i="57"/>
  <c r="S78" i="57"/>
  <c r="R87" i="57"/>
  <c r="N40" i="57"/>
  <c r="L47" i="57"/>
  <c r="L59" i="57"/>
  <c r="L14" i="57"/>
  <c r="L7" i="57"/>
  <c r="M63" i="57"/>
  <c r="O22" i="58"/>
  <c r="U9" i="57"/>
  <c r="L63" i="57"/>
  <c r="P9" i="57"/>
  <c r="S9" i="57"/>
  <c r="O34" i="57"/>
  <c r="M20" i="57"/>
  <c r="R63" i="57"/>
  <c r="U78" i="57"/>
  <c r="S87" i="57"/>
  <c r="N59" i="57"/>
  <c r="Q63" i="57"/>
  <c r="S22" i="58"/>
  <c r="V120" i="57"/>
  <c r="J120" i="43" s="1"/>
  <c r="L120" i="43" s="1"/>
  <c r="F69" i="43"/>
  <c r="N63" i="57"/>
  <c r="F54" i="43"/>
  <c r="S54" i="57"/>
  <c r="P47" i="57"/>
  <c r="P59" i="57"/>
  <c r="U54" i="57"/>
  <c r="T52" i="57"/>
  <c r="F41" i="43"/>
  <c r="R59" i="57"/>
  <c r="K83" i="43"/>
  <c r="Q83" i="43" s="1"/>
  <c r="V83" i="43" s="1"/>
  <c r="W83" i="43" s="1"/>
  <c r="F109" i="43"/>
  <c r="F42" i="43"/>
  <c r="R41" i="57"/>
  <c r="N11" i="57"/>
  <c r="L72" i="57"/>
  <c r="R47" i="57"/>
  <c r="N86" i="57"/>
  <c r="F72" i="43"/>
  <c r="L41" i="57"/>
  <c r="Q78" i="57"/>
  <c r="F87" i="43"/>
  <c r="S46" i="57"/>
  <c r="P52" i="57"/>
  <c r="S47" i="57"/>
  <c r="S59" i="57"/>
  <c r="O107" i="57"/>
  <c r="M7" i="57"/>
  <c r="E22" i="56"/>
  <c r="T106" i="57"/>
  <c r="R106" i="57"/>
  <c r="Q106" i="57"/>
  <c r="Q28" i="57"/>
  <c r="U109" i="57"/>
  <c r="T42" i="57"/>
  <c r="T119" i="57"/>
  <c r="M37" i="57"/>
  <c r="P40" i="57"/>
  <c r="U86" i="57"/>
  <c r="M72" i="57"/>
  <c r="O52" i="57"/>
  <c r="N47" i="57"/>
  <c r="Q7" i="57"/>
  <c r="T86" i="57"/>
  <c r="U72" i="57"/>
  <c r="N78" i="57"/>
  <c r="T23" i="57"/>
  <c r="Q47" i="57"/>
  <c r="Q59" i="57"/>
  <c r="L86" i="57"/>
  <c r="F78" i="43"/>
  <c r="O23" i="57"/>
  <c r="T87" i="57"/>
  <c r="M52" i="57"/>
  <c r="Q14" i="57"/>
  <c r="U7" i="57"/>
  <c r="U22" i="58"/>
  <c r="M41" i="57"/>
  <c r="T61" i="57"/>
  <c r="T99" i="57"/>
  <c r="N7" i="57"/>
  <c r="V7" i="57"/>
  <c r="J7" i="43" s="1"/>
  <c r="H14" i="35"/>
  <c r="K7" i="34"/>
  <c r="F14" i="35"/>
  <c r="I14" i="35"/>
  <c r="N5" i="60" s="1"/>
  <c r="Z115" i="43"/>
  <c r="J7" i="34"/>
  <c r="K120" i="43"/>
  <c r="L22" i="57"/>
  <c r="V95" i="57"/>
  <c r="J95" i="43" s="1"/>
  <c r="L95" i="43" s="1"/>
  <c r="V77" i="57"/>
  <c r="J77" i="43" s="1"/>
  <c r="L77" i="43" s="1"/>
  <c r="R69" i="57"/>
  <c r="O42" i="57"/>
  <c r="O22" i="57"/>
  <c r="L110" i="57"/>
  <c r="Q55" i="57"/>
  <c r="R51" i="57"/>
  <c r="R11" i="57"/>
  <c r="N51" i="57"/>
  <c r="U11" i="57"/>
  <c r="V74" i="57"/>
  <c r="J74" i="43" s="1"/>
  <c r="L74" i="43" s="1"/>
  <c r="T11" i="57"/>
  <c r="L69" i="57"/>
  <c r="Q42" i="57"/>
  <c r="P22" i="57"/>
  <c r="L93" i="57"/>
  <c r="M51" i="57"/>
  <c r="P51" i="57"/>
  <c r="F11" i="43"/>
  <c r="N69" i="57"/>
  <c r="S42" i="57"/>
  <c r="S22" i="57"/>
  <c r="F110" i="43"/>
  <c r="T6" i="57"/>
  <c r="N37" i="57"/>
  <c r="P41" i="57"/>
  <c r="N9" i="57"/>
  <c r="M11" i="57"/>
  <c r="M69" i="57"/>
  <c r="U42" i="57"/>
  <c r="U22" i="57"/>
  <c r="S28" i="57"/>
  <c r="P54" i="57"/>
  <c r="T40" i="57"/>
  <c r="T110" i="57"/>
  <c r="S93" i="57"/>
  <c r="S109" i="57"/>
  <c r="U6" i="57"/>
  <c r="P55" i="57"/>
  <c r="S14" i="57"/>
  <c r="L51" i="57"/>
  <c r="V81" i="57"/>
  <c r="J81" i="43" s="1"/>
  <c r="K81" i="43" s="1"/>
  <c r="Q51" i="57"/>
  <c r="P37" i="57"/>
  <c r="N41" i="57"/>
  <c r="O11" i="57"/>
  <c r="L42" i="57"/>
  <c r="F22" i="43"/>
  <c r="R40" i="57"/>
  <c r="Q110" i="57"/>
  <c r="T93" i="57"/>
  <c r="O109" i="57"/>
  <c r="F6" i="43"/>
  <c r="R55" i="57"/>
  <c r="U14" i="57"/>
  <c r="O51" i="57"/>
  <c r="M9" i="57"/>
  <c r="P69" i="57"/>
  <c r="F28" i="43"/>
  <c r="T37" i="57"/>
  <c r="Q41" i="57"/>
  <c r="F9" i="43"/>
  <c r="P11" i="57"/>
  <c r="Q69" i="57"/>
  <c r="M42" i="57"/>
  <c r="M22" i="57"/>
  <c r="N28" i="57"/>
  <c r="Q54" i="57"/>
  <c r="U40" i="57"/>
  <c r="U110" i="57"/>
  <c r="U93" i="57"/>
  <c r="L6" i="57"/>
  <c r="S55" i="57"/>
  <c r="S51" i="57"/>
  <c r="U69" i="57"/>
  <c r="U68" i="57"/>
  <c r="S69" i="57"/>
  <c r="R42" i="57"/>
  <c r="R22" i="57"/>
  <c r="F55" i="43"/>
  <c r="Q93" i="57"/>
  <c r="Q109" i="57"/>
  <c r="L55" i="57"/>
  <c r="S41" i="57"/>
  <c r="O9" i="57"/>
  <c r="Q11" i="57"/>
  <c r="O69" i="57"/>
  <c r="N42" i="57"/>
  <c r="Q22" i="57"/>
  <c r="O54" i="57"/>
  <c r="M40" i="57"/>
  <c r="P110" i="57"/>
  <c r="N93" i="57"/>
  <c r="M6" i="57"/>
  <c r="U55" i="57"/>
  <c r="M14" i="57"/>
  <c r="T51" i="57"/>
  <c r="S11" i="57"/>
  <c r="M93" i="57"/>
  <c r="T104" i="46"/>
  <c r="H21" i="59" s="1"/>
  <c r="H89" i="49"/>
  <c r="K89" i="49"/>
  <c r="J89" i="49"/>
  <c r="M124" i="57"/>
  <c r="P124" i="57"/>
  <c r="N124" i="57"/>
  <c r="Q124" i="57"/>
  <c r="L124" i="57"/>
  <c r="T124" i="57"/>
  <c r="S124" i="57"/>
  <c r="U124" i="57"/>
  <c r="R124" i="57"/>
  <c r="O124" i="57"/>
  <c r="F124" i="43"/>
  <c r="N68" i="57"/>
  <c r="L99" i="57"/>
  <c r="K34" i="49"/>
  <c r="H34" i="49"/>
  <c r="J34" i="49"/>
  <c r="J27" i="34"/>
  <c r="H27" i="34"/>
  <c r="K27" i="34"/>
  <c r="Q23" i="57"/>
  <c r="J53" i="49"/>
  <c r="K53" i="49"/>
  <c r="H53" i="49"/>
  <c r="N99" i="57"/>
  <c r="K54" i="49"/>
  <c r="J54" i="49"/>
  <c r="H54" i="49"/>
  <c r="J70" i="49"/>
  <c r="K70" i="49"/>
  <c r="H70" i="49"/>
  <c r="K43" i="49"/>
  <c r="J43" i="49"/>
  <c r="H43" i="49"/>
  <c r="K72" i="49"/>
  <c r="H72" i="49"/>
  <c r="J72" i="49"/>
  <c r="AM97" i="46"/>
  <c r="AO97" i="46" s="1"/>
  <c r="AP97" i="46" s="1"/>
  <c r="AQ97" i="46" s="1"/>
  <c r="AI97" i="46"/>
  <c r="AJ97" i="46" s="1"/>
  <c r="K22" i="34"/>
  <c r="H22" i="34"/>
  <c r="J22" i="34"/>
  <c r="K28" i="34"/>
  <c r="J28" i="34"/>
  <c r="H28" i="34"/>
  <c r="R103" i="57"/>
  <c r="W106" i="46"/>
  <c r="P15" i="59" s="1"/>
  <c r="P16" i="59" s="1"/>
  <c r="M61" i="57"/>
  <c r="F23" i="43"/>
  <c r="T109" i="57"/>
  <c r="P99" i="57"/>
  <c r="AM37" i="46"/>
  <c r="AO37" i="46" s="1"/>
  <c r="AP37" i="46" s="1"/>
  <c r="AQ37" i="46" s="1"/>
  <c r="AI37" i="46"/>
  <c r="AJ37" i="46" s="1"/>
  <c r="K23" i="49"/>
  <c r="J23" i="49"/>
  <c r="H23" i="49"/>
  <c r="K55" i="49"/>
  <c r="H55" i="49"/>
  <c r="J55" i="49"/>
  <c r="J10" i="49"/>
  <c r="H10" i="49"/>
  <c r="K10" i="49"/>
  <c r="K20" i="49"/>
  <c r="H20" i="49"/>
  <c r="J20" i="49"/>
  <c r="K58" i="49"/>
  <c r="H58" i="49"/>
  <c r="J58" i="49"/>
  <c r="K4" i="49"/>
  <c r="H4" i="49"/>
  <c r="J4" i="49"/>
  <c r="H84" i="49"/>
  <c r="K84" i="49"/>
  <c r="J84" i="49"/>
  <c r="N149" i="14"/>
  <c r="O149" i="14"/>
  <c r="V39" i="57"/>
  <c r="J39" i="43" s="1"/>
  <c r="K4" i="34"/>
  <c r="H4" i="34"/>
  <c r="J4" i="34"/>
  <c r="K13" i="34"/>
  <c r="H13" i="34"/>
  <c r="J13" i="34"/>
  <c r="AM9" i="46"/>
  <c r="AO9" i="46" s="1"/>
  <c r="AP9" i="46" s="1"/>
  <c r="AQ9" i="46" s="1"/>
  <c r="AI9" i="46"/>
  <c r="AJ9" i="46" s="1"/>
  <c r="AM77" i="46"/>
  <c r="AO77" i="46" s="1"/>
  <c r="AP77" i="46" s="1"/>
  <c r="AQ77" i="46" s="1"/>
  <c r="AI77" i="46"/>
  <c r="AJ77" i="46" s="1"/>
  <c r="V44" i="57"/>
  <c r="J44" i="43" s="1"/>
  <c r="K27" i="49"/>
  <c r="H27" i="49"/>
  <c r="J27" i="49"/>
  <c r="S23" i="57"/>
  <c r="K87" i="49"/>
  <c r="J87" i="49"/>
  <c r="H87" i="49"/>
  <c r="K79" i="49"/>
  <c r="J79" i="49"/>
  <c r="H79" i="49"/>
  <c r="O123" i="14"/>
  <c r="K151" i="14"/>
  <c r="N123" i="14"/>
  <c r="P68" i="57"/>
  <c r="S68" i="57"/>
  <c r="S103" i="57"/>
  <c r="R61" i="57"/>
  <c r="M23" i="57"/>
  <c r="AI21" i="46"/>
  <c r="AJ21" i="46" s="1"/>
  <c r="P109" i="57"/>
  <c r="Q99" i="57"/>
  <c r="P38" i="54"/>
  <c r="P39" i="54" s="1"/>
  <c r="F45" i="43"/>
  <c r="N45" i="57"/>
  <c r="L45" i="57"/>
  <c r="T45" i="57"/>
  <c r="S45" i="57"/>
  <c r="U45" i="57"/>
  <c r="R45" i="57"/>
  <c r="Q45" i="57"/>
  <c r="O45" i="57"/>
  <c r="M45" i="57"/>
  <c r="P45" i="57"/>
  <c r="H80" i="49"/>
  <c r="K80" i="49"/>
  <c r="J80" i="49"/>
  <c r="J78" i="49"/>
  <c r="K78" i="49"/>
  <c r="H78" i="49"/>
  <c r="K38" i="49"/>
  <c r="H38" i="49"/>
  <c r="J38" i="49"/>
  <c r="K47" i="49"/>
  <c r="J47" i="49"/>
  <c r="H47" i="49"/>
  <c r="K75" i="49"/>
  <c r="J75" i="49"/>
  <c r="H75" i="49"/>
  <c r="H18" i="49"/>
  <c r="K18" i="49"/>
  <c r="J18" i="49"/>
  <c r="K85" i="49"/>
  <c r="H85" i="49"/>
  <c r="J85" i="49"/>
  <c r="AQ8" i="45"/>
  <c r="AI17" i="46"/>
  <c r="AJ17" i="46" s="1"/>
  <c r="AM17" i="46"/>
  <c r="AO17" i="46" s="1"/>
  <c r="AP17" i="46" s="1"/>
  <c r="AQ17" i="46" s="1"/>
  <c r="K166" i="14"/>
  <c r="N138" i="14"/>
  <c r="O138" i="14"/>
  <c r="J6" i="51"/>
  <c r="I6" i="51"/>
  <c r="H19" i="34"/>
  <c r="K19" i="34"/>
  <c r="J19" i="34"/>
  <c r="H24" i="34"/>
  <c r="J24" i="34"/>
  <c r="K24" i="34"/>
  <c r="K29" i="34"/>
  <c r="H29" i="34"/>
  <c r="J29" i="34"/>
  <c r="H10" i="34"/>
  <c r="K10" i="34"/>
  <c r="J10" i="34"/>
  <c r="K49" i="49"/>
  <c r="J49" i="49"/>
  <c r="H49" i="49"/>
  <c r="AI68" i="46"/>
  <c r="AJ68" i="46" s="1"/>
  <c r="AM68" i="46"/>
  <c r="AO68" i="46" s="1"/>
  <c r="AP68" i="46" s="1"/>
  <c r="AQ68" i="46" s="1"/>
  <c r="AI7" i="46"/>
  <c r="AJ7" i="46" s="1"/>
  <c r="AM7" i="46"/>
  <c r="AO7" i="46" s="1"/>
  <c r="AP7" i="46" s="1"/>
  <c r="AI15" i="46"/>
  <c r="AJ15" i="46" s="1"/>
  <c r="AM15" i="46"/>
  <c r="AO15" i="46" s="1"/>
  <c r="AP15" i="46" s="1"/>
  <c r="AQ15" i="46" s="1"/>
  <c r="Q68" i="57"/>
  <c r="O103" i="57"/>
  <c r="L23" i="57"/>
  <c r="J9" i="49"/>
  <c r="H9" i="49"/>
  <c r="K9" i="49"/>
  <c r="AI39" i="46"/>
  <c r="AJ39" i="46" s="1"/>
  <c r="AM39" i="46"/>
  <c r="AO39" i="46" s="1"/>
  <c r="AP39" i="46" s="1"/>
  <c r="AQ39" i="46" s="1"/>
  <c r="K161" i="14"/>
  <c r="N133" i="14"/>
  <c r="O133" i="14"/>
  <c r="V75" i="57"/>
  <c r="J75" i="43" s="1"/>
  <c r="K10" i="51"/>
  <c r="C13" i="51"/>
  <c r="K13" i="51" s="1"/>
  <c r="J10" i="51"/>
  <c r="I10" i="51"/>
  <c r="J20" i="34"/>
  <c r="H20" i="34"/>
  <c r="K20" i="34"/>
  <c r="K158" i="14"/>
  <c r="O130" i="14"/>
  <c r="N130" i="14"/>
  <c r="O68" i="57"/>
  <c r="U69" i="45"/>
  <c r="D14" i="59" s="1"/>
  <c r="U103" i="57"/>
  <c r="O61" i="57"/>
  <c r="N23" i="57"/>
  <c r="N109" i="57"/>
  <c r="F99" i="43"/>
  <c r="K24" i="49"/>
  <c r="H24" i="49"/>
  <c r="J24" i="49"/>
  <c r="K76" i="49"/>
  <c r="J76" i="49"/>
  <c r="H76" i="49"/>
  <c r="K13" i="49"/>
  <c r="H13" i="49"/>
  <c r="J13" i="49"/>
  <c r="K11" i="49"/>
  <c r="J11" i="49"/>
  <c r="H11" i="49"/>
  <c r="J29" i="49"/>
  <c r="H29" i="49"/>
  <c r="K29" i="49"/>
  <c r="H52" i="49"/>
  <c r="J52" i="49"/>
  <c r="K52" i="49"/>
  <c r="K21" i="49"/>
  <c r="J21" i="49"/>
  <c r="H21" i="49"/>
  <c r="K7" i="51"/>
  <c r="J7" i="51"/>
  <c r="I7" i="51"/>
  <c r="C8" i="51"/>
  <c r="K8" i="51" s="1"/>
  <c r="V108" i="57"/>
  <c r="J108" i="43" s="1"/>
  <c r="AM16" i="46"/>
  <c r="AO16" i="46" s="1"/>
  <c r="AP16" i="46" s="1"/>
  <c r="AQ16" i="46" s="1"/>
  <c r="AI16" i="46"/>
  <c r="AJ16" i="46" s="1"/>
  <c r="J25" i="34"/>
  <c r="H25" i="34"/>
  <c r="K25" i="34"/>
  <c r="H26" i="34"/>
  <c r="K26" i="34"/>
  <c r="J26" i="34"/>
  <c r="K86" i="49"/>
  <c r="J86" i="49"/>
  <c r="H86" i="49"/>
  <c r="H51" i="49"/>
  <c r="K51" i="49"/>
  <c r="J51" i="49"/>
  <c r="K17" i="49"/>
  <c r="H17" i="49"/>
  <c r="J17" i="49"/>
  <c r="K46" i="49"/>
  <c r="H46" i="49"/>
  <c r="J46" i="49"/>
  <c r="M68" i="57"/>
  <c r="K60" i="49"/>
  <c r="J60" i="49"/>
  <c r="H60" i="49"/>
  <c r="H59" i="49"/>
  <c r="J59" i="49"/>
  <c r="K59" i="49"/>
  <c r="K17" i="34"/>
  <c r="J17" i="34"/>
  <c r="H17" i="34"/>
  <c r="V48" i="57"/>
  <c r="J48" i="43" s="1"/>
  <c r="L48" i="43" s="1"/>
  <c r="F68" i="43"/>
  <c r="T103" i="57"/>
  <c r="L61" i="57"/>
  <c r="K82" i="49"/>
  <c r="J82" i="49"/>
  <c r="H82" i="49"/>
  <c r="K64" i="49"/>
  <c r="H64" i="49"/>
  <c r="J64" i="49"/>
  <c r="J66" i="49"/>
  <c r="H66" i="49"/>
  <c r="K66" i="49"/>
  <c r="K71" i="49"/>
  <c r="J71" i="49"/>
  <c r="H71" i="49"/>
  <c r="H14" i="49"/>
  <c r="J14" i="49"/>
  <c r="K14" i="49"/>
  <c r="J36" i="49"/>
  <c r="H36" i="49"/>
  <c r="K36" i="49"/>
  <c r="H6" i="34"/>
  <c r="K6" i="34"/>
  <c r="J6" i="34"/>
  <c r="Q61" i="57"/>
  <c r="R23" i="57"/>
  <c r="M109" i="57"/>
  <c r="S99" i="57"/>
  <c r="K88" i="49"/>
  <c r="H88" i="49"/>
  <c r="J88" i="49"/>
  <c r="K5" i="49"/>
  <c r="H5" i="49"/>
  <c r="J5" i="49"/>
  <c r="K39" i="49"/>
  <c r="J39" i="49"/>
  <c r="H39" i="49"/>
  <c r="K26" i="49"/>
  <c r="J26" i="49"/>
  <c r="H26" i="49"/>
  <c r="K45" i="49"/>
  <c r="J45" i="49"/>
  <c r="H45" i="49"/>
  <c r="K67" i="49"/>
  <c r="H67" i="49"/>
  <c r="J67" i="49"/>
  <c r="K35" i="49"/>
  <c r="J35" i="49"/>
  <c r="H35" i="49"/>
  <c r="K30" i="34"/>
  <c r="H30" i="34"/>
  <c r="J30" i="34"/>
  <c r="J9" i="34"/>
  <c r="K9" i="34"/>
  <c r="H9" i="34"/>
  <c r="V32" i="57"/>
  <c r="J32" i="43" s="1"/>
  <c r="K6" i="49"/>
  <c r="H6" i="49"/>
  <c r="J6" i="49"/>
  <c r="J32" i="49"/>
  <c r="H32" i="49"/>
  <c r="K32" i="49"/>
  <c r="K12" i="49"/>
  <c r="H12" i="49"/>
  <c r="J12" i="49"/>
  <c r="H16" i="34"/>
  <c r="K16" i="34"/>
  <c r="J16" i="34"/>
  <c r="M99" i="57"/>
  <c r="K44" i="49"/>
  <c r="H44" i="49"/>
  <c r="J44" i="49"/>
  <c r="AM49" i="46"/>
  <c r="AO49" i="46" s="1"/>
  <c r="AP49" i="46" s="1"/>
  <c r="AQ49" i="46" s="1"/>
  <c r="AI49" i="46"/>
  <c r="AJ49" i="46" s="1"/>
  <c r="J12" i="34"/>
  <c r="K12" i="34"/>
  <c r="H12" i="34"/>
  <c r="T68" i="57"/>
  <c r="F103" i="43"/>
  <c r="N61" i="57"/>
  <c r="O99" i="57"/>
  <c r="H31" i="49"/>
  <c r="K31" i="49"/>
  <c r="J31" i="49"/>
  <c r="K42" i="49"/>
  <c r="H42" i="49"/>
  <c r="J42" i="49"/>
  <c r="H63" i="49"/>
  <c r="J63" i="49"/>
  <c r="K63" i="49"/>
  <c r="H48" i="49"/>
  <c r="J48" i="49"/>
  <c r="K48" i="49"/>
  <c r="K163" i="14"/>
  <c r="O135" i="14"/>
  <c r="N135" i="14"/>
  <c r="AI95" i="46"/>
  <c r="AJ95" i="46" s="1"/>
  <c r="AM95" i="46"/>
  <c r="AO95" i="46" s="1"/>
  <c r="AP95" i="46" s="1"/>
  <c r="AQ95" i="46" s="1"/>
  <c r="K32" i="34"/>
  <c r="J32" i="34"/>
  <c r="H32" i="34"/>
  <c r="J31" i="34"/>
  <c r="K31" i="34"/>
  <c r="H31" i="34"/>
  <c r="L68" i="57"/>
  <c r="L103" i="57"/>
  <c r="P61" i="57"/>
  <c r="R99" i="57"/>
  <c r="U105" i="46"/>
  <c r="D15" i="59" s="1"/>
  <c r="H28" i="49"/>
  <c r="K28" i="49"/>
  <c r="J28" i="49"/>
  <c r="K56" i="49"/>
  <c r="H56" i="49"/>
  <c r="J56" i="49"/>
  <c r="K15" i="49"/>
  <c r="H15" i="49"/>
  <c r="J15" i="49"/>
  <c r="H57" i="49"/>
  <c r="K57" i="49"/>
  <c r="J57" i="49"/>
  <c r="K77" i="49"/>
  <c r="J77" i="49"/>
  <c r="H77" i="49"/>
  <c r="K7" i="49"/>
  <c r="H7" i="49"/>
  <c r="J7" i="49"/>
  <c r="J62" i="49"/>
  <c r="H62" i="49"/>
  <c r="K62" i="49"/>
  <c r="R94" i="57"/>
  <c r="O94" i="57"/>
  <c r="M94" i="57"/>
  <c r="F94" i="43"/>
  <c r="U94" i="57"/>
  <c r="P94" i="57"/>
  <c r="N94" i="57"/>
  <c r="L94" i="57"/>
  <c r="T94" i="57"/>
  <c r="Q94" i="57"/>
  <c r="S94" i="57"/>
  <c r="V73" i="57"/>
  <c r="J73" i="43" s="1"/>
  <c r="H5" i="34"/>
  <c r="K5" i="34"/>
  <c r="J5" i="34"/>
  <c r="K15" i="34"/>
  <c r="H15" i="34"/>
  <c r="J15" i="34"/>
  <c r="H37" i="49"/>
  <c r="J37" i="49"/>
  <c r="K37" i="49"/>
  <c r="K69" i="49"/>
  <c r="H69" i="49"/>
  <c r="J69" i="49"/>
  <c r="J33" i="49"/>
  <c r="K33" i="49"/>
  <c r="H33" i="49"/>
  <c r="AI47" i="46"/>
  <c r="AJ47" i="46" s="1"/>
  <c r="AM47" i="46"/>
  <c r="AO47" i="46" s="1"/>
  <c r="AP47" i="46" s="1"/>
  <c r="AQ47" i="46" s="1"/>
  <c r="AI94" i="46"/>
  <c r="AJ94" i="46" s="1"/>
  <c r="AM94" i="46"/>
  <c r="AO94" i="46" s="1"/>
  <c r="AP94" i="46" s="1"/>
  <c r="AQ94" i="46" s="1"/>
  <c r="K11" i="34"/>
  <c r="J11" i="34"/>
  <c r="H11" i="34"/>
  <c r="K65" i="49"/>
  <c r="H65" i="49"/>
  <c r="J65" i="49"/>
  <c r="T68" i="45"/>
  <c r="H20" i="59" s="1"/>
  <c r="U23" i="57"/>
  <c r="H22" i="49"/>
  <c r="J22" i="49"/>
  <c r="K22" i="49"/>
  <c r="H68" i="49"/>
  <c r="K68" i="49"/>
  <c r="J68" i="49"/>
  <c r="H81" i="49"/>
  <c r="K81" i="49"/>
  <c r="J81" i="49"/>
  <c r="AM28" i="46"/>
  <c r="AO28" i="46" s="1"/>
  <c r="AP28" i="46" s="1"/>
  <c r="AQ28" i="46" s="1"/>
  <c r="AI28" i="46"/>
  <c r="AJ28" i="46" s="1"/>
  <c r="V26" i="57"/>
  <c r="J26" i="43" s="1"/>
  <c r="N37" i="46"/>
  <c r="N45" i="46"/>
  <c r="N43" i="46"/>
  <c r="N32" i="46"/>
  <c r="N47" i="46"/>
  <c r="N36" i="46"/>
  <c r="N38" i="46"/>
  <c r="N98" i="46"/>
  <c r="N86" i="46"/>
  <c r="N73" i="46"/>
  <c r="N59" i="46"/>
  <c r="N27" i="46"/>
  <c r="N14" i="46"/>
  <c r="N46" i="46"/>
  <c r="N48" i="46"/>
  <c r="N39" i="46"/>
  <c r="N94" i="46"/>
  <c r="N82" i="46"/>
  <c r="N69" i="46"/>
  <c r="N54" i="46"/>
  <c r="N22" i="46"/>
  <c r="N10" i="46"/>
  <c r="N42" i="46"/>
  <c r="N93" i="46"/>
  <c r="N80" i="46"/>
  <c r="N68" i="46"/>
  <c r="N53" i="46"/>
  <c r="N21" i="46"/>
  <c r="N9" i="46"/>
  <c r="N44" i="46"/>
  <c r="N85" i="46"/>
  <c r="N66" i="46"/>
  <c r="N30" i="46"/>
  <c r="N13" i="46"/>
  <c r="N100" i="46"/>
  <c r="N84" i="46"/>
  <c r="N65" i="46"/>
  <c r="N29" i="46"/>
  <c r="N12" i="46"/>
  <c r="N99" i="46"/>
  <c r="N83" i="46"/>
  <c r="N64" i="46"/>
  <c r="N28" i="46"/>
  <c r="N11" i="46"/>
  <c r="N97" i="46"/>
  <c r="N79" i="46"/>
  <c r="N62" i="46"/>
  <c r="N25" i="46"/>
  <c r="N8" i="46"/>
  <c r="N96" i="46"/>
  <c r="N78" i="46"/>
  <c r="N61" i="46"/>
  <c r="N24" i="46"/>
  <c r="N7" i="46"/>
  <c r="N92" i="46"/>
  <c r="N76" i="46"/>
  <c r="N58" i="46"/>
  <c r="N20" i="46"/>
  <c r="N91" i="46"/>
  <c r="N75" i="46"/>
  <c r="N56" i="46"/>
  <c r="N19" i="46"/>
  <c r="N88" i="46"/>
  <c r="N23" i="46"/>
  <c r="N74" i="46"/>
  <c r="N16" i="46"/>
  <c r="N87" i="46"/>
  <c r="N18" i="46"/>
  <c r="N17" i="46"/>
  <c r="N49" i="46"/>
  <c r="N77" i="46"/>
  <c r="N40" i="46"/>
  <c r="N41" i="46"/>
  <c r="N72" i="46"/>
  <c r="N15" i="46"/>
  <c r="N71" i="46"/>
  <c r="N70" i="46"/>
  <c r="N95" i="46"/>
  <c r="N89" i="46"/>
  <c r="N60" i="46"/>
  <c r="N55" i="46"/>
  <c r="N90" i="46"/>
  <c r="N52" i="46"/>
  <c r="N51" i="46"/>
  <c r="K8" i="49"/>
  <c r="H8" i="49"/>
  <c r="J8" i="49"/>
  <c r="K83" i="49"/>
  <c r="J83" i="49"/>
  <c r="H83" i="49"/>
  <c r="H40" i="49"/>
  <c r="J40" i="49"/>
  <c r="K40" i="49"/>
  <c r="K73" i="49"/>
  <c r="H73" i="49"/>
  <c r="J73" i="49"/>
  <c r="K16" i="49"/>
  <c r="H16" i="49"/>
  <c r="J16" i="49"/>
  <c r="J19" i="49"/>
  <c r="K19" i="49"/>
  <c r="H19" i="49"/>
  <c r="K74" i="49"/>
  <c r="H74" i="49"/>
  <c r="J74" i="49"/>
  <c r="AI11" i="46"/>
  <c r="AJ11" i="46" s="1"/>
  <c r="AM11" i="46"/>
  <c r="AO11" i="46" s="1"/>
  <c r="AP11" i="46" s="1"/>
  <c r="AQ11" i="46" s="1"/>
  <c r="O15" i="57"/>
  <c r="U15" i="57"/>
  <c r="S15" i="57"/>
  <c r="Q15" i="57"/>
  <c r="P15" i="57"/>
  <c r="T15" i="57"/>
  <c r="R15" i="57"/>
  <c r="N15" i="57"/>
  <c r="L15" i="57"/>
  <c r="F15" i="43"/>
  <c r="M15" i="57"/>
  <c r="H8" i="34"/>
  <c r="K8" i="34"/>
  <c r="J8" i="34"/>
  <c r="H33" i="34"/>
  <c r="J33" i="34"/>
  <c r="K33" i="34"/>
  <c r="Q31" i="57"/>
  <c r="N31" i="57"/>
  <c r="T31" i="57"/>
  <c r="U31" i="57"/>
  <c r="S31" i="57"/>
  <c r="R31" i="57"/>
  <c r="P31" i="57"/>
  <c r="O31" i="57"/>
  <c r="M31" i="57"/>
  <c r="F31" i="43"/>
  <c r="L31" i="57"/>
  <c r="E51" i="77"/>
  <c r="E69" i="77"/>
  <c r="E43" i="77"/>
  <c r="E63" i="77"/>
  <c r="E55" i="77"/>
  <c r="E61" i="77"/>
  <c r="E71" i="77"/>
  <c r="E47" i="77"/>
  <c r="E45" i="77"/>
  <c r="E65" i="77"/>
  <c r="E57" i="77"/>
  <c r="E67" i="77"/>
  <c r="E49" i="77"/>
  <c r="E59" i="77"/>
  <c r="E53" i="77"/>
  <c r="V29" i="57"/>
  <c r="J29" i="43" s="1"/>
  <c r="V82" i="57"/>
  <c r="J82" i="43" s="1"/>
  <c r="V35" i="57"/>
  <c r="J35" i="43" s="1"/>
  <c r="V129" i="57"/>
  <c r="J129" i="43" s="1"/>
  <c r="D5" i="59"/>
  <c r="AQ14" i="46"/>
  <c r="V121" i="57"/>
  <c r="J121" i="43" s="1"/>
  <c r="V19" i="57"/>
  <c r="J19" i="43" s="1"/>
  <c r="N134" i="14"/>
  <c r="K162" i="14"/>
  <c r="O134" i="14"/>
  <c r="Z29" i="56"/>
  <c r="N5" i="55" s="1"/>
  <c r="V53" i="57"/>
  <c r="J53" i="43" s="1"/>
  <c r="V21" i="57"/>
  <c r="J21" i="43" s="1"/>
  <c r="V97" i="57"/>
  <c r="J97" i="43" s="1"/>
  <c r="V125" i="57"/>
  <c r="J125" i="43" s="1"/>
  <c r="V36" i="57"/>
  <c r="J36" i="43" s="1"/>
  <c r="R21" i="76"/>
  <c r="V21" i="76" s="1"/>
  <c r="Z21" i="76" s="1"/>
  <c r="AD21" i="76" s="1"/>
  <c r="AH21" i="76" s="1"/>
  <c r="AL21" i="76" s="1"/>
  <c r="AP21" i="76" s="1"/>
  <c r="AT21" i="76" s="1"/>
  <c r="AX21" i="76" s="1"/>
  <c r="BB21" i="76" s="1"/>
  <c r="BF21" i="76" s="1"/>
  <c r="BJ21" i="76" s="1"/>
  <c r="BN21" i="76" s="1"/>
  <c r="BR21" i="76" s="1"/>
  <c r="BV21" i="76" s="1"/>
  <c r="V18" i="57"/>
  <c r="J18" i="43" s="1"/>
  <c r="D22" i="59"/>
  <c r="L70" i="43"/>
  <c r="K70" i="43"/>
  <c r="Q70" i="43" s="1"/>
  <c r="V70" i="43" s="1"/>
  <c r="T14" i="59" l="1"/>
  <c r="H4" i="59"/>
  <c r="L4" i="59" s="1"/>
  <c r="L67" i="43"/>
  <c r="K67" i="43"/>
  <c r="V30" i="57"/>
  <c r="J30" i="43" s="1"/>
  <c r="V34" i="57"/>
  <c r="J34" i="43" s="1"/>
  <c r="V102" i="57"/>
  <c r="J102" i="43" s="1"/>
  <c r="L102" i="43" s="1"/>
  <c r="V17" i="57"/>
  <c r="J17" i="43" s="1"/>
  <c r="V118" i="57"/>
  <c r="J118" i="43" s="1"/>
  <c r="K33" i="43"/>
  <c r="Q33" i="43" s="1"/>
  <c r="V33" i="43" s="1"/>
  <c r="W33" i="43" s="1"/>
  <c r="V105" i="57"/>
  <c r="J105" i="43" s="1"/>
  <c r="V10" i="57"/>
  <c r="J10" i="43" s="1"/>
  <c r="L10" i="43" s="1"/>
  <c r="V49" i="57"/>
  <c r="J49" i="43" s="1"/>
  <c r="V50" i="57"/>
  <c r="J50" i="43" s="1"/>
  <c r="L50" i="43" s="1"/>
  <c r="V27" i="57"/>
  <c r="J27" i="43" s="1"/>
  <c r="L27" i="43" s="1"/>
  <c r="V72" i="57"/>
  <c r="J72" i="43" s="1"/>
  <c r="L72" i="43" s="1"/>
  <c r="V127" i="57"/>
  <c r="J127" i="43" s="1"/>
  <c r="K127" i="43" s="1"/>
  <c r="V104" i="57"/>
  <c r="J104" i="43" s="1"/>
  <c r="L104" i="43" s="1"/>
  <c r="L101" i="43"/>
  <c r="Q101" i="43" s="1"/>
  <c r="V101" i="43" s="1"/>
  <c r="V38" i="57"/>
  <c r="J38" i="43" s="1"/>
  <c r="K38" i="43" s="1"/>
  <c r="V52" i="57"/>
  <c r="J52" i="43" s="1"/>
  <c r="L52" i="43" s="1"/>
  <c r="V79" i="57"/>
  <c r="J79" i="43" s="1"/>
  <c r="L79" i="43" s="1"/>
  <c r="V92" i="57"/>
  <c r="J92" i="43" s="1"/>
  <c r="L92" i="43" s="1"/>
  <c r="V66" i="57"/>
  <c r="J66" i="43" s="1"/>
  <c r="K66" i="43" s="1"/>
  <c r="V98" i="57"/>
  <c r="J98" i="43" s="1"/>
  <c r="K95" i="43"/>
  <c r="Q95" i="43" s="1"/>
  <c r="V95" i="43" s="1"/>
  <c r="V80" i="57"/>
  <c r="J80" i="43" s="1"/>
  <c r="AQ64" i="45"/>
  <c r="O148" i="14"/>
  <c r="N148" i="14"/>
  <c r="O168" i="14"/>
  <c r="N168" i="14"/>
  <c r="V54" i="57"/>
  <c r="J54" i="43" s="1"/>
  <c r="L54" i="43" s="1"/>
  <c r="V100" i="57"/>
  <c r="J100" i="43" s="1"/>
  <c r="V43" i="57"/>
  <c r="J43" i="43" s="1"/>
  <c r="L43" i="43" s="1"/>
  <c r="V37" i="57"/>
  <c r="J37" i="43" s="1"/>
  <c r="K37" i="43" s="1"/>
  <c r="V106" i="57"/>
  <c r="J106" i="43" s="1"/>
  <c r="L106" i="43" s="1"/>
  <c r="K102" i="43"/>
  <c r="Q102" i="43" s="1"/>
  <c r="V102" i="43" s="1"/>
  <c r="Y102" i="43" s="1"/>
  <c r="V107" i="57"/>
  <c r="J107" i="43" s="1"/>
  <c r="L107" i="43" s="1"/>
  <c r="V47" i="57"/>
  <c r="J47" i="43" s="1"/>
  <c r="L47" i="43" s="1"/>
  <c r="V20" i="57"/>
  <c r="J20" i="43" s="1"/>
  <c r="L20" i="43" s="1"/>
  <c r="K16" i="43"/>
  <c r="V119" i="57"/>
  <c r="J119" i="43" s="1"/>
  <c r="L119" i="43" s="1"/>
  <c r="V46" i="57"/>
  <c r="J46" i="43" s="1"/>
  <c r="K46" i="43" s="1"/>
  <c r="V12" i="57"/>
  <c r="J12" i="43" s="1"/>
  <c r="V78" i="57"/>
  <c r="J78" i="43" s="1"/>
  <c r="L78" i="43" s="1"/>
  <c r="V69" i="57"/>
  <c r="J69" i="43" s="1"/>
  <c r="L69" i="43" s="1"/>
  <c r="V40" i="57"/>
  <c r="J40" i="43" s="1"/>
  <c r="K40" i="43" s="1"/>
  <c r="V42" i="57"/>
  <c r="J42" i="43" s="1"/>
  <c r="L42" i="43" s="1"/>
  <c r="V110" i="57"/>
  <c r="J110" i="43" s="1"/>
  <c r="L110" i="43" s="1"/>
  <c r="K74" i="43"/>
  <c r="Q74" i="43" s="1"/>
  <c r="V74" i="43" s="1"/>
  <c r="Y74" i="43" s="1"/>
  <c r="L81" i="43"/>
  <c r="Q81" i="43" s="1"/>
  <c r="V81" i="43" s="1"/>
  <c r="V93" i="57"/>
  <c r="J93" i="43" s="1"/>
  <c r="L93" i="43" s="1"/>
  <c r="V14" i="57"/>
  <c r="J14" i="43" s="1"/>
  <c r="L14" i="43" s="1"/>
  <c r="V11" i="57"/>
  <c r="J11" i="43" s="1"/>
  <c r="K11" i="43" s="1"/>
  <c r="V9" i="57"/>
  <c r="J9" i="43" s="1"/>
  <c r="K9" i="43" s="1"/>
  <c r="V41" i="57"/>
  <c r="J41" i="43" s="1"/>
  <c r="V28" i="57"/>
  <c r="J28" i="43" s="1"/>
  <c r="K28" i="43" s="1"/>
  <c r="V22" i="57"/>
  <c r="J22" i="43" s="1"/>
  <c r="V51" i="57"/>
  <c r="J51" i="43" s="1"/>
  <c r="L51" i="43" s="1"/>
  <c r="K7" i="43"/>
  <c r="L7" i="43"/>
  <c r="Q7" i="43"/>
  <c r="V7" i="43" s="1"/>
  <c r="Y83" i="43"/>
  <c r="Z83" i="43" s="1"/>
  <c r="H34" i="34"/>
  <c r="D15" i="60" s="1"/>
  <c r="J34" i="34"/>
  <c r="H15" i="60" s="1"/>
  <c r="K34" i="34"/>
  <c r="N6" i="60" s="1"/>
  <c r="N4" i="60" s="1"/>
  <c r="H22" i="59"/>
  <c r="L22" i="59" s="1"/>
  <c r="L20" i="59"/>
  <c r="D16" i="59"/>
  <c r="V45" i="57"/>
  <c r="J45" i="43" s="1"/>
  <c r="Q16" i="43"/>
  <c r="V16" i="43" s="1"/>
  <c r="Y16" i="43" s="1"/>
  <c r="V68" i="57"/>
  <c r="J68" i="43" s="1"/>
  <c r="L68" i="43" s="1"/>
  <c r="V109" i="57"/>
  <c r="J109" i="43" s="1"/>
  <c r="L109" i="43" s="1"/>
  <c r="Q67" i="43"/>
  <c r="V67" i="43" s="1"/>
  <c r="Y67" i="43" s="1"/>
  <c r="K77" i="43"/>
  <c r="Q77" i="43" s="1"/>
  <c r="V77" i="43" s="1"/>
  <c r="W77" i="43" s="1"/>
  <c r="Q120" i="43"/>
  <c r="V120" i="43" s="1"/>
  <c r="V103" i="57"/>
  <c r="J103" i="43" s="1"/>
  <c r="L103" i="43" s="1"/>
  <c r="V23" i="57"/>
  <c r="J23" i="43" s="1"/>
  <c r="L23" i="43" s="1"/>
  <c r="AJ105" i="46"/>
  <c r="L15" i="59" s="1"/>
  <c r="L16" i="59" s="1"/>
  <c r="L21" i="59"/>
  <c r="P40" i="54"/>
  <c r="N14" i="52" s="1"/>
  <c r="R14" i="52" s="1"/>
  <c r="AD14" i="52" s="1"/>
  <c r="AP14" i="52" s="1"/>
  <c r="P41" i="54"/>
  <c r="N15" i="52" s="1"/>
  <c r="Z15" i="52" s="1"/>
  <c r="AL15" i="52" s="1"/>
  <c r="N13" i="52"/>
  <c r="L27" i="52" s="1"/>
  <c r="X21" i="46"/>
  <c r="X51" i="46"/>
  <c r="X41" i="46"/>
  <c r="X8" i="46"/>
  <c r="X80" i="46"/>
  <c r="K75" i="43"/>
  <c r="L75" i="43"/>
  <c r="X53" i="46"/>
  <c r="X29" i="46"/>
  <c r="V94" i="57"/>
  <c r="J94" i="43" s="1"/>
  <c r="X65" i="46"/>
  <c r="K71" i="43"/>
  <c r="Q71" i="43" s="1"/>
  <c r="V71" i="43" s="1"/>
  <c r="Y71" i="43" s="1"/>
  <c r="K48" i="43"/>
  <c r="Q48" i="43" s="1"/>
  <c r="V48" i="43" s="1"/>
  <c r="W48" i="43" s="1"/>
  <c r="X52" i="46"/>
  <c r="X40" i="46"/>
  <c r="X75" i="46"/>
  <c r="X25" i="46"/>
  <c r="X84" i="46"/>
  <c r="X93" i="46"/>
  <c r="X27" i="46"/>
  <c r="L26" i="43"/>
  <c r="K26" i="43"/>
  <c r="Q26" i="43"/>
  <c r="V26" i="43" s="1"/>
  <c r="K90" i="49"/>
  <c r="N7" i="60" s="1"/>
  <c r="X90" i="46"/>
  <c r="X77" i="46"/>
  <c r="X91" i="46"/>
  <c r="X62" i="46"/>
  <c r="X100" i="46"/>
  <c r="X42" i="46"/>
  <c r="X59" i="46"/>
  <c r="X15" i="46"/>
  <c r="X88" i="46"/>
  <c r="X78" i="46"/>
  <c r="X12" i="46"/>
  <c r="X43" i="46"/>
  <c r="X68" i="46"/>
  <c r="H90" i="49"/>
  <c r="D16" i="60" s="1"/>
  <c r="J90" i="49"/>
  <c r="H16" i="60" s="1"/>
  <c r="V99" i="57"/>
  <c r="J99" i="43" s="1"/>
  <c r="X55" i="46"/>
  <c r="X49" i="46"/>
  <c r="X20" i="46"/>
  <c r="X79" i="46"/>
  <c r="X13" i="46"/>
  <c r="X10" i="46"/>
  <c r="X73" i="46"/>
  <c r="I22" i="51"/>
  <c r="H13" i="67" s="1"/>
  <c r="H17" i="67" s="1"/>
  <c r="X17" i="46"/>
  <c r="X58" i="46"/>
  <c r="X97" i="46"/>
  <c r="X30" i="46"/>
  <c r="X22" i="46"/>
  <c r="X86" i="46"/>
  <c r="N161" i="14"/>
  <c r="O161" i="14"/>
  <c r="J22" i="51"/>
  <c r="L13" i="67" s="1"/>
  <c r="L17" i="67" s="1"/>
  <c r="O151" i="14"/>
  <c r="N151" i="14"/>
  <c r="X71" i="46"/>
  <c r="X61" i="46"/>
  <c r="X32" i="46"/>
  <c r="X72" i="46"/>
  <c r="X19" i="46"/>
  <c r="X96" i="46"/>
  <c r="X45" i="46"/>
  <c r="V15" i="57"/>
  <c r="J15" i="43" s="1"/>
  <c r="X14" i="46"/>
  <c r="X60" i="46"/>
  <c r="X18" i="46"/>
  <c r="X76" i="46"/>
  <c r="X11" i="46"/>
  <c r="X66" i="46"/>
  <c r="X54" i="46"/>
  <c r="X98" i="46"/>
  <c r="O158" i="14"/>
  <c r="N158" i="14"/>
  <c r="K118" i="43"/>
  <c r="Q118" i="43" s="1"/>
  <c r="V118" i="43" s="1"/>
  <c r="L118" i="43"/>
  <c r="K44" i="43"/>
  <c r="L44" i="43"/>
  <c r="X89" i="46"/>
  <c r="X87" i="46"/>
  <c r="X92" i="46"/>
  <c r="X28" i="46"/>
  <c r="X85" i="46"/>
  <c r="X69" i="46"/>
  <c r="X38" i="46"/>
  <c r="K108" i="43"/>
  <c r="P108" i="43" s="1"/>
  <c r="L108" i="43"/>
  <c r="AQ7" i="46"/>
  <c r="H5" i="59"/>
  <c r="L5" i="59" s="1"/>
  <c r="L39" i="43"/>
  <c r="K39" i="43"/>
  <c r="X99" i="46"/>
  <c r="X48" i="46"/>
  <c r="X46" i="46"/>
  <c r="L32" i="43"/>
  <c r="K32" i="43"/>
  <c r="X56" i="46"/>
  <c r="X37" i="46"/>
  <c r="X95" i="46"/>
  <c r="X16" i="46"/>
  <c r="X7" i="46"/>
  <c r="X64" i="46"/>
  <c r="X44" i="46"/>
  <c r="X82" i="46"/>
  <c r="X36" i="46"/>
  <c r="K14" i="43"/>
  <c r="K73" i="43"/>
  <c r="L73" i="43"/>
  <c r="O166" i="14"/>
  <c r="N166" i="14"/>
  <c r="X23" i="46"/>
  <c r="X39" i="46"/>
  <c r="X70" i="46"/>
  <c r="X74" i="46"/>
  <c r="X24" i="46"/>
  <c r="X83" i="46"/>
  <c r="X9" i="46"/>
  <c r="X94" i="46"/>
  <c r="X47" i="46"/>
  <c r="O163" i="14"/>
  <c r="N163" i="14"/>
  <c r="V124" i="57"/>
  <c r="J124" i="43" s="1"/>
  <c r="Y70" i="43"/>
  <c r="W70" i="43"/>
  <c r="L35" i="43"/>
  <c r="K35" i="43"/>
  <c r="R13" i="52"/>
  <c r="AD13" i="52" s="1"/>
  <c r="AP13" i="52" s="1"/>
  <c r="Z13" i="52"/>
  <c r="AL13" i="52" s="1"/>
  <c r="L41" i="43"/>
  <c r="K41" i="43"/>
  <c r="Q41" i="43" s="1"/>
  <c r="V41" i="43" s="1"/>
  <c r="V14" i="52"/>
  <c r="AH14" i="52" s="1"/>
  <c r="K80" i="43"/>
  <c r="L80" i="43"/>
  <c r="K25" i="43"/>
  <c r="L25" i="43"/>
  <c r="L19" i="43"/>
  <c r="K19" i="43"/>
  <c r="K82" i="43"/>
  <c r="L82" i="43"/>
  <c r="L17" i="43"/>
  <c r="K17" i="43"/>
  <c r="K34" i="43"/>
  <c r="L34" i="43"/>
  <c r="K129" i="43"/>
  <c r="L129" i="43"/>
  <c r="V31" i="57"/>
  <c r="J31" i="43" s="1"/>
  <c r="L98" i="43"/>
  <c r="K98" i="43"/>
  <c r="K121" i="43"/>
  <c r="L121" i="43"/>
  <c r="L24" i="43"/>
  <c r="K24" i="43"/>
  <c r="L12" i="43"/>
  <c r="K12" i="43"/>
  <c r="Q12" i="43" s="1"/>
  <c r="V12" i="43" s="1"/>
  <c r="K49" i="43"/>
  <c r="L49" i="43"/>
  <c r="K13" i="43"/>
  <c r="L13" i="43"/>
  <c r="K18" i="43"/>
  <c r="L18" i="43"/>
  <c r="K21" i="43"/>
  <c r="L21" i="43"/>
  <c r="K96" i="43"/>
  <c r="L96" i="43"/>
  <c r="L36" i="43"/>
  <c r="K36" i="43"/>
  <c r="L53" i="43"/>
  <c r="K53" i="43"/>
  <c r="K105" i="43"/>
  <c r="P105" i="43" s="1"/>
  <c r="L105" i="43"/>
  <c r="O162" i="14"/>
  <c r="N162" i="14"/>
  <c r="L125" i="43"/>
  <c r="K125" i="43"/>
  <c r="L97" i="43"/>
  <c r="K97" i="43"/>
  <c r="L30" i="43"/>
  <c r="K30" i="43"/>
  <c r="K76" i="43"/>
  <c r="L76" i="43"/>
  <c r="L29" i="43"/>
  <c r="K29" i="43"/>
  <c r="K79" i="43" l="1"/>
  <c r="K92" i="43"/>
  <c r="Q92" i="43" s="1"/>
  <c r="V92" i="43" s="1"/>
  <c r="K52" i="43"/>
  <c r="K10" i="43"/>
  <c r="L127" i="43"/>
  <c r="K72" i="43"/>
  <c r="Q72" i="43" s="1"/>
  <c r="V72" i="43" s="1"/>
  <c r="W72" i="43" s="1"/>
  <c r="K20" i="43"/>
  <c r="K27" i="43"/>
  <c r="K106" i="43"/>
  <c r="P106" i="43" s="1"/>
  <c r="K50" i="43"/>
  <c r="Q50" i="43" s="1"/>
  <c r="V50" i="43" s="1"/>
  <c r="W50" i="43" s="1"/>
  <c r="K47" i="43"/>
  <c r="Q47" i="43" s="1"/>
  <c r="V47" i="43" s="1"/>
  <c r="W47" i="43" s="1"/>
  <c r="K93" i="43"/>
  <c r="L66" i="43"/>
  <c r="Q66" i="43" s="1"/>
  <c r="V66" i="43" s="1"/>
  <c r="W66" i="43" s="1"/>
  <c r="W101" i="43"/>
  <c r="Y101" i="43"/>
  <c r="K103" i="43"/>
  <c r="L45" i="43"/>
  <c r="L37" i="43"/>
  <c r="Q37" i="43" s="1"/>
  <c r="V37" i="43" s="1"/>
  <c r="Y37" i="43" s="1"/>
  <c r="K45" i="43"/>
  <c r="Q45" i="43" s="1"/>
  <c r="V45" i="43" s="1"/>
  <c r="K110" i="43"/>
  <c r="P110" i="43" s="1"/>
  <c r="Q103" i="43"/>
  <c r="V103" i="43" s="1"/>
  <c r="Y103" i="43" s="1"/>
  <c r="Q30" i="43"/>
  <c r="V30" i="43" s="1"/>
  <c r="W30" i="43" s="1"/>
  <c r="Q108" i="43"/>
  <c r="V108" i="43" s="1"/>
  <c r="K104" i="43"/>
  <c r="P104" i="43" s="1"/>
  <c r="W102" i="43"/>
  <c r="Z102" i="43" s="1"/>
  <c r="L38" i="43"/>
  <c r="Q38" i="43" s="1"/>
  <c r="V38" i="43" s="1"/>
  <c r="L6" i="59"/>
  <c r="L7" i="73" s="1"/>
  <c r="L46" i="43"/>
  <c r="Q46" i="43" s="1"/>
  <c r="V46" i="43" s="1"/>
  <c r="W46" i="43" s="1"/>
  <c r="L11" i="43"/>
  <c r="Q11" i="43" s="1"/>
  <c r="V11" i="43" s="1"/>
  <c r="Y11" i="43" s="1"/>
  <c r="Q106" i="43"/>
  <c r="V106" i="43" s="1"/>
  <c r="Y106" i="43" s="1"/>
  <c r="K119" i="43"/>
  <c r="Q119" i="43" s="1"/>
  <c r="V119" i="43" s="1"/>
  <c r="K42" i="43"/>
  <c r="Q42" i="43" s="1"/>
  <c r="V42" i="43" s="1"/>
  <c r="K69" i="43"/>
  <c r="Q69" i="43" s="1"/>
  <c r="V69" i="43" s="1"/>
  <c r="W69" i="43" s="1"/>
  <c r="K43" i="43"/>
  <c r="Q43" i="43" s="1"/>
  <c r="V43" i="43" s="1"/>
  <c r="Y43" i="43" s="1"/>
  <c r="K54" i="43"/>
  <c r="Q54" i="43" s="1"/>
  <c r="V54" i="43" s="1"/>
  <c r="Y54" i="43" s="1"/>
  <c r="K107" i="43"/>
  <c r="P107" i="43" s="1"/>
  <c r="K78" i="43"/>
  <c r="Q78" i="43" s="1"/>
  <c r="V78" i="43" s="1"/>
  <c r="W78" i="43" s="1"/>
  <c r="L100" i="43"/>
  <c r="K100" i="43"/>
  <c r="Q100" i="43" s="1"/>
  <c r="V100" i="43" s="1"/>
  <c r="Q93" i="43"/>
  <c r="V93" i="43" s="1"/>
  <c r="Y93" i="43" s="1"/>
  <c r="W81" i="43"/>
  <c r="Y81" i="43"/>
  <c r="K51" i="43"/>
  <c r="Q51" i="43" s="1"/>
  <c r="V51" i="43" s="1"/>
  <c r="Y51" i="43" s="1"/>
  <c r="K22" i="43"/>
  <c r="L22" i="43"/>
  <c r="L9" i="43"/>
  <c r="Q9" i="43" s="1"/>
  <c r="V9" i="43" s="1"/>
  <c r="W74" i="43"/>
  <c r="Z74" i="43" s="1"/>
  <c r="L40" i="43"/>
  <c r="Q40" i="43" s="1"/>
  <c r="V40" i="43" s="1"/>
  <c r="Y40" i="43" s="1"/>
  <c r="Q79" i="43"/>
  <c r="V79" i="43" s="1"/>
  <c r="Y79" i="43" s="1"/>
  <c r="L28" i="43"/>
  <c r="Q28" i="43" s="1"/>
  <c r="V28" i="43" s="1"/>
  <c r="W7" i="43"/>
  <c r="Y7" i="43"/>
  <c r="L15" i="60"/>
  <c r="H17" i="60"/>
  <c r="D17" i="60"/>
  <c r="Q121" i="43"/>
  <c r="V121" i="43" s="1"/>
  <c r="Y121" i="43" s="1"/>
  <c r="Q105" i="43"/>
  <c r="V105" i="43" s="1"/>
  <c r="Y105" i="43" s="1"/>
  <c r="Q73" i="43"/>
  <c r="V73" i="43" s="1"/>
  <c r="W73" i="43" s="1"/>
  <c r="Q13" i="43"/>
  <c r="V13" i="43" s="1"/>
  <c r="W13" i="43" s="1"/>
  <c r="Q17" i="43"/>
  <c r="V17" i="43" s="1"/>
  <c r="W17" i="43" s="1"/>
  <c r="Q21" i="43"/>
  <c r="V21" i="43" s="1"/>
  <c r="Y21" i="43" s="1"/>
  <c r="T15" i="59"/>
  <c r="T16" i="59" s="1"/>
  <c r="W16" i="43"/>
  <c r="Z16" i="43" s="1"/>
  <c r="Y77" i="43"/>
  <c r="Z77" i="43" s="1"/>
  <c r="N8" i="60"/>
  <c r="L9" i="73" s="1"/>
  <c r="P102" i="46"/>
  <c r="Y92" i="43"/>
  <c r="W92" i="43"/>
  <c r="W38" i="43"/>
  <c r="Y38" i="43"/>
  <c r="W67" i="43"/>
  <c r="Z67" i="43" s="1"/>
  <c r="K68" i="43"/>
  <c r="Q68" i="43" s="1"/>
  <c r="V68" i="43" s="1"/>
  <c r="Y68" i="43" s="1"/>
  <c r="K109" i="43"/>
  <c r="P109" i="43" s="1"/>
  <c r="K23" i="43"/>
  <c r="Q23" i="43" s="1"/>
  <c r="V23" i="43" s="1"/>
  <c r="Q80" i="43"/>
  <c r="V80" i="43" s="1"/>
  <c r="Y80" i="43" s="1"/>
  <c r="W120" i="43"/>
  <c r="Y120" i="43"/>
  <c r="Q29" i="43"/>
  <c r="V29" i="43" s="1"/>
  <c r="Y29" i="43" s="1"/>
  <c r="Q24" i="43"/>
  <c r="V24" i="43" s="1"/>
  <c r="Y24" i="43" s="1"/>
  <c r="Q52" i="43"/>
  <c r="V52" i="43" s="1"/>
  <c r="W52" i="43" s="1"/>
  <c r="Q32" i="43"/>
  <c r="V32" i="43" s="1"/>
  <c r="W32" i="43" s="1"/>
  <c r="Q39" i="43"/>
  <c r="V39" i="43" s="1"/>
  <c r="W39" i="43" s="1"/>
  <c r="Q75" i="43"/>
  <c r="V75" i="43" s="1"/>
  <c r="W75" i="43" s="1"/>
  <c r="Q14" i="43"/>
  <c r="V14" i="43" s="1"/>
  <c r="Y14" i="43" s="1"/>
  <c r="Q53" i="43"/>
  <c r="V53" i="43" s="1"/>
  <c r="W53" i="43" s="1"/>
  <c r="Q19" i="43"/>
  <c r="V19" i="43" s="1"/>
  <c r="Y19" i="43" s="1"/>
  <c r="W71" i="43"/>
  <c r="Z71" i="43" s="1"/>
  <c r="Y108" i="43"/>
  <c r="W108" i="43"/>
  <c r="V15" i="52"/>
  <c r="AH15" i="52" s="1"/>
  <c r="Q20" i="43"/>
  <c r="V20" i="43" s="1"/>
  <c r="L94" i="43"/>
  <c r="K94" i="43"/>
  <c r="W118" i="43"/>
  <c r="Y118" i="43"/>
  <c r="Z101" i="43"/>
  <c r="Q44" i="43"/>
  <c r="V44" i="43" s="1"/>
  <c r="R15" i="52"/>
  <c r="AD15" i="52" s="1"/>
  <c r="AP15" i="52" s="1"/>
  <c r="Y33" i="43"/>
  <c r="Z33" i="43" s="1"/>
  <c r="Y48" i="43"/>
  <c r="Z48" i="43" s="1"/>
  <c r="Q25" i="43"/>
  <c r="V25" i="43" s="1"/>
  <c r="Y25" i="43" s="1"/>
  <c r="L124" i="43"/>
  <c r="K124" i="43"/>
  <c r="L99" i="43"/>
  <c r="K99" i="43"/>
  <c r="W26" i="43"/>
  <c r="Y26" i="43"/>
  <c r="Q10" i="43"/>
  <c r="V10" i="43" s="1"/>
  <c r="Y10" i="43" s="1"/>
  <c r="Q96" i="43"/>
  <c r="V96" i="43" s="1"/>
  <c r="W96" i="43" s="1"/>
  <c r="W95" i="43"/>
  <c r="Y95" i="43"/>
  <c r="Q125" i="43"/>
  <c r="V125" i="43" s="1"/>
  <c r="W125" i="43" s="1"/>
  <c r="Q18" i="43"/>
  <c r="V18" i="43" s="1"/>
  <c r="W18" i="43" s="1"/>
  <c r="Q34" i="43"/>
  <c r="V34" i="43" s="1"/>
  <c r="W34" i="43" s="1"/>
  <c r="Q35" i="43"/>
  <c r="V35" i="43" s="1"/>
  <c r="Y35" i="43" s="1"/>
  <c r="L16" i="60"/>
  <c r="L15" i="43"/>
  <c r="K15" i="43"/>
  <c r="Q15" i="43" s="1"/>
  <c r="V15" i="43" s="1"/>
  <c r="Q129" i="43"/>
  <c r="V129" i="43" s="1"/>
  <c r="W129" i="43" s="1"/>
  <c r="Q76" i="43"/>
  <c r="V76" i="43" s="1"/>
  <c r="W76" i="43" s="1"/>
  <c r="Q127" i="43"/>
  <c r="V127" i="43" s="1"/>
  <c r="W127" i="43" s="1"/>
  <c r="V13" i="52"/>
  <c r="AH13" i="52" s="1"/>
  <c r="Q27" i="43"/>
  <c r="V27" i="43" s="1"/>
  <c r="Z14" i="52"/>
  <c r="AL14" i="52" s="1"/>
  <c r="L29" i="52"/>
  <c r="Q97" i="43"/>
  <c r="V97" i="43" s="1"/>
  <c r="Y97" i="43" s="1"/>
  <c r="Q36" i="43"/>
  <c r="V36" i="43" s="1"/>
  <c r="Y36" i="43" s="1"/>
  <c r="Q49" i="43"/>
  <c r="V49" i="43" s="1"/>
  <c r="W49" i="43" s="1"/>
  <c r="Q98" i="43"/>
  <c r="V98" i="43" s="1"/>
  <c r="W98" i="43" s="1"/>
  <c r="Q82" i="43"/>
  <c r="V82" i="43" s="1"/>
  <c r="W82" i="43" s="1"/>
  <c r="R18" i="76"/>
  <c r="V18" i="76" s="1"/>
  <c r="Z18" i="76" s="1"/>
  <c r="AD18" i="76" s="1"/>
  <c r="AH18" i="76" s="1"/>
  <c r="AL18" i="76" s="1"/>
  <c r="AP18" i="76" s="1"/>
  <c r="AT18" i="76" s="1"/>
  <c r="AX18" i="76" s="1"/>
  <c r="BB18" i="76" s="1"/>
  <c r="BF18" i="76" s="1"/>
  <c r="BJ18" i="76" s="1"/>
  <c r="BN18" i="76" s="1"/>
  <c r="BR18" i="76" s="1"/>
  <c r="BV18" i="76" s="1"/>
  <c r="W12" i="43"/>
  <c r="Y12" i="43"/>
  <c r="W41" i="43"/>
  <c r="Y41" i="43"/>
  <c r="W54" i="43"/>
  <c r="N7" i="76"/>
  <c r="Z70" i="43"/>
  <c r="L31" i="43"/>
  <c r="K31" i="43"/>
  <c r="Q31" i="43" s="1"/>
  <c r="V31" i="43" s="1"/>
  <c r="W37" i="43"/>
  <c r="AN7" i="73" l="1"/>
  <c r="AN9" i="73"/>
  <c r="AH11" i="76" s="1"/>
  <c r="AH15" i="76" s="1"/>
  <c r="AH40" i="76" s="1"/>
  <c r="Y30" i="43"/>
  <c r="Y66" i="43"/>
  <c r="W93" i="43"/>
  <c r="W35" i="43"/>
  <c r="Z35" i="43" s="1"/>
  <c r="Q110" i="43"/>
  <c r="V110" i="43" s="1"/>
  <c r="W110" i="43" s="1"/>
  <c r="Y50" i="43"/>
  <c r="Z50" i="43" s="1"/>
  <c r="W45" i="43"/>
  <c r="Y45" i="43"/>
  <c r="Y53" i="43"/>
  <c r="Y72" i="43"/>
  <c r="Z72" i="43" s="1"/>
  <c r="Q104" i="43"/>
  <c r="V104" i="43" s="1"/>
  <c r="W104" i="43" s="1"/>
  <c r="W79" i="43"/>
  <c r="Z79" i="43" s="1"/>
  <c r="W103" i="43"/>
  <c r="Z103" i="43" s="1"/>
  <c r="Y47" i="43"/>
  <c r="Y34" i="43"/>
  <c r="Z34" i="43" s="1"/>
  <c r="L5" i="53"/>
  <c r="Y42" i="43"/>
  <c r="W42" i="43"/>
  <c r="Z42" i="43" s="1"/>
  <c r="W119" i="43"/>
  <c r="Y119" i="43"/>
  <c r="Z119" i="43" s="1"/>
  <c r="W9" i="43"/>
  <c r="Y9" i="43"/>
  <c r="Q107" i="43"/>
  <c r="V107" i="43" s="1"/>
  <c r="Y107" i="43" s="1"/>
  <c r="Y100" i="43"/>
  <c r="W100" i="43"/>
  <c r="Z100" i="43" s="1"/>
  <c r="Q22" i="43"/>
  <c r="V22" i="43" s="1"/>
  <c r="W22" i="43" s="1"/>
  <c r="Y46" i="43"/>
  <c r="Z46" i="43" s="1"/>
  <c r="W106" i="43"/>
  <c r="Z106" i="43" s="1"/>
  <c r="Z81" i="43"/>
  <c r="Y69" i="43"/>
  <c r="Y28" i="43"/>
  <c r="W28" i="43"/>
  <c r="Z28" i="43" s="1"/>
  <c r="Q99" i="43"/>
  <c r="V99" i="43" s="1"/>
  <c r="W99" i="43" s="1"/>
  <c r="W105" i="43"/>
  <c r="Z105" i="43" s="1"/>
  <c r="Y73" i="43"/>
  <c r="W121" i="43"/>
  <c r="Z121" i="43" s="1"/>
  <c r="Q124" i="43"/>
  <c r="V124" i="43" s="1"/>
  <c r="Y124" i="43" s="1"/>
  <c r="Z7" i="43"/>
  <c r="AA8" i="43" s="1"/>
  <c r="L17" i="60"/>
  <c r="L6" i="53"/>
  <c r="Q94" i="43"/>
  <c r="V94" i="43" s="1"/>
  <c r="Y94" i="43" s="1"/>
  <c r="W21" i="43"/>
  <c r="Y17" i="43"/>
  <c r="Z17" i="43" s="1"/>
  <c r="Y13" i="43"/>
  <c r="Z13" i="43" s="1"/>
  <c r="Y125" i="43"/>
  <c r="Z125" i="43" s="1"/>
  <c r="Y52" i="43"/>
  <c r="Z52" i="43" s="1"/>
  <c r="Y98" i="43"/>
  <c r="Z98" i="43" s="1"/>
  <c r="Z92" i="43"/>
  <c r="Y82" i="43"/>
  <c r="Z82" i="43" s="1"/>
  <c r="Y75" i="43"/>
  <c r="Z75" i="43" s="1"/>
  <c r="W36" i="43"/>
  <c r="Z36" i="43" s="1"/>
  <c r="W24" i="43"/>
  <c r="Z24" i="43" s="1"/>
  <c r="W10" i="43"/>
  <c r="Z10" i="43" s="1"/>
  <c r="W11" i="43"/>
  <c r="Z11" i="43" s="1"/>
  <c r="W68" i="43"/>
  <c r="Z68" i="43" s="1"/>
  <c r="Z45" i="43"/>
  <c r="W97" i="43"/>
  <c r="Z97" i="43" s="1"/>
  <c r="Y127" i="43"/>
  <c r="Z127" i="43" s="1"/>
  <c r="Z73" i="43"/>
  <c r="Y78" i="43"/>
  <c r="Z78" i="43" s="1"/>
  <c r="W29" i="43"/>
  <c r="Z29" i="43" s="1"/>
  <c r="Y18" i="43"/>
  <c r="Z18" i="43" s="1"/>
  <c r="W43" i="43"/>
  <c r="Z43" i="43" s="1"/>
  <c r="W80" i="43"/>
  <c r="Z80" i="43" s="1"/>
  <c r="Y76" i="43"/>
  <c r="Z76" i="43" s="1"/>
  <c r="Z95" i="43"/>
  <c r="W19" i="43"/>
  <c r="Z19" i="43" s="1"/>
  <c r="W23" i="43"/>
  <c r="Y23" i="43"/>
  <c r="W14" i="43"/>
  <c r="Z14" i="43" s="1"/>
  <c r="W51" i="43"/>
  <c r="Z51" i="43" s="1"/>
  <c r="Z66" i="43"/>
  <c r="Y39" i="43"/>
  <c r="Z39" i="43" s="1"/>
  <c r="Z38" i="43"/>
  <c r="Q109" i="43"/>
  <c r="V109" i="43" s="1"/>
  <c r="Y32" i="43"/>
  <c r="Z32" i="43" s="1"/>
  <c r="Z120" i="43"/>
  <c r="W124" i="43"/>
  <c r="R19" i="76"/>
  <c r="V19" i="76" s="1"/>
  <c r="Z19" i="76" s="1"/>
  <c r="AD19" i="76" s="1"/>
  <c r="AH19" i="76" s="1"/>
  <c r="AL19" i="76" s="1"/>
  <c r="AP19" i="76" s="1"/>
  <c r="AT19" i="76" s="1"/>
  <c r="AX19" i="76" s="1"/>
  <c r="BB19" i="76" s="1"/>
  <c r="BF19" i="76" s="1"/>
  <c r="BJ19" i="76" s="1"/>
  <c r="BN19" i="76" s="1"/>
  <c r="BR19" i="76" s="1"/>
  <c r="BV19" i="76" s="1"/>
  <c r="Z53" i="43"/>
  <c r="Y96" i="43"/>
  <c r="Z96" i="43" s="1"/>
  <c r="W40" i="43"/>
  <c r="Z40" i="43" s="1"/>
  <c r="Z21" i="43"/>
  <c r="Y49" i="43"/>
  <c r="Z49" i="43" s="1"/>
  <c r="Z108" i="43"/>
  <c r="Z26" i="43"/>
  <c r="W44" i="43"/>
  <c r="Y44" i="43"/>
  <c r="Y15" i="43"/>
  <c r="W15" i="43"/>
  <c r="Z15" i="43" s="1"/>
  <c r="W25" i="43"/>
  <c r="Z25" i="43" s="1"/>
  <c r="Y27" i="43"/>
  <c r="W27" i="43"/>
  <c r="W20" i="43"/>
  <c r="Y20" i="43"/>
  <c r="Z69" i="43"/>
  <c r="Z118" i="43"/>
  <c r="Y129" i="43"/>
  <c r="Z129" i="43" s="1"/>
  <c r="AA130" i="43" s="1"/>
  <c r="Z47" i="43"/>
  <c r="W31" i="43"/>
  <c r="Y31" i="43"/>
  <c r="Z93" i="43"/>
  <c r="Z41" i="43"/>
  <c r="Z12" i="43"/>
  <c r="Z37" i="43"/>
  <c r="Z54" i="43"/>
  <c r="Z30" i="43"/>
  <c r="Z124" i="43" l="1"/>
  <c r="Y99" i="43"/>
  <c r="Y110" i="43"/>
  <c r="Z110" i="43" s="1"/>
  <c r="Z9" i="43"/>
  <c r="W107" i="43"/>
  <c r="Y104" i="43"/>
  <c r="Y22" i="43"/>
  <c r="Z22" i="43" s="1"/>
  <c r="W94" i="43"/>
  <c r="Z94" i="43" s="1"/>
  <c r="Z23" i="43"/>
  <c r="Z104" i="43"/>
  <c r="W109" i="43"/>
  <c r="Y109" i="43"/>
  <c r="AA123" i="43"/>
  <c r="Z99" i="43"/>
  <c r="AA128" i="43"/>
  <c r="AN17" i="73"/>
  <c r="O77" i="77" s="1"/>
  <c r="N11" i="76"/>
  <c r="N15" i="76" s="1"/>
  <c r="N40" i="76" s="1"/>
  <c r="N42" i="76" s="1"/>
  <c r="Z44" i="43"/>
  <c r="AA91" i="43"/>
  <c r="Z20" i="43"/>
  <c r="Z27" i="43"/>
  <c r="Z107" i="43"/>
  <c r="Z31" i="43"/>
  <c r="K41" i="77" l="1"/>
  <c r="N44" i="76"/>
  <c r="N52" i="76"/>
  <c r="V41" i="77" s="1"/>
  <c r="AA65" i="43"/>
  <c r="Z109" i="43"/>
  <c r="AA117" i="43" s="1"/>
  <c r="AA132" i="43" l="1"/>
  <c r="N4" i="55" s="1"/>
  <c r="D6" i="55" s="1"/>
  <c r="N7" i="55" l="1"/>
  <c r="N8" i="55"/>
  <c r="N17" i="55" l="1"/>
  <c r="L4" i="53" s="1"/>
  <c r="R17" i="76" s="1"/>
  <c r="V17" i="76" s="1"/>
  <c r="L5" i="73" l="1"/>
  <c r="E21" i="51"/>
  <c r="G21" i="51" s="1"/>
  <c r="K21" i="51" s="1"/>
  <c r="K22" i="51" s="1"/>
  <c r="L4" i="67" s="1"/>
  <c r="L8" i="67" s="1"/>
  <c r="Z17" i="76"/>
  <c r="D13" i="67" l="1"/>
  <c r="D17" i="67" s="1"/>
  <c r="L9" i="53"/>
  <c r="L15" i="73"/>
  <c r="L17" i="73" s="1"/>
  <c r="U7" i="73" s="1"/>
  <c r="AD17" i="76"/>
  <c r="P13" i="67" l="1"/>
  <c r="P17" i="67" s="1"/>
  <c r="U11" i="73"/>
  <c r="U9" i="73"/>
  <c r="U13" i="73"/>
  <c r="U17" i="73"/>
  <c r="R22" i="76"/>
  <c r="L10" i="53"/>
  <c r="U5" i="73"/>
  <c r="U15" i="73"/>
  <c r="AH17" i="76"/>
  <c r="U9" i="53" l="1"/>
  <c r="U8" i="53"/>
  <c r="U7" i="53"/>
  <c r="U6" i="53"/>
  <c r="U5" i="53"/>
  <c r="U4" i="53"/>
  <c r="O11" i="53"/>
  <c r="U25" i="53"/>
  <c r="U24" i="73" s="1"/>
  <c r="R32" i="76"/>
  <c r="U24" i="53"/>
  <c r="U23" i="73" s="1"/>
  <c r="N6" i="52"/>
  <c r="U10" i="53"/>
  <c r="O12" i="53"/>
  <c r="N8" i="52" s="1"/>
  <c r="U26" i="53"/>
  <c r="R24" i="76"/>
  <c r="V22" i="76"/>
  <c r="AL17" i="76"/>
  <c r="R34" i="76" l="1"/>
  <c r="V32" i="76"/>
  <c r="L13" i="53"/>
  <c r="N7" i="52"/>
  <c r="R26" i="76"/>
  <c r="V6" i="52"/>
  <c r="AH6" i="52" s="1"/>
  <c r="Z6" i="52"/>
  <c r="AL6" i="52" s="1"/>
  <c r="R6" i="52"/>
  <c r="AD6" i="52" s="1"/>
  <c r="AP6" i="52" s="1"/>
  <c r="U27" i="53"/>
  <c r="U26" i="73" s="1"/>
  <c r="U25" i="73"/>
  <c r="Z22" i="76"/>
  <c r="V24" i="76"/>
  <c r="R8" i="52"/>
  <c r="AD8" i="52" s="1"/>
  <c r="AP8" i="52" s="1"/>
  <c r="V8" i="52"/>
  <c r="AH8" i="52" s="1"/>
  <c r="Z8" i="52"/>
  <c r="AL8" i="52" s="1"/>
  <c r="AP17" i="76"/>
  <c r="AD22" i="76" l="1"/>
  <c r="Z24" i="76"/>
  <c r="R28" i="76"/>
  <c r="R38" i="76" s="1"/>
  <c r="R42" i="76" s="1"/>
  <c r="V26" i="76"/>
  <c r="O16" i="53"/>
  <c r="N9" i="52"/>
  <c r="L26" i="52" s="1"/>
  <c r="O14" i="53"/>
  <c r="V34" i="76"/>
  <c r="Z32" i="76"/>
  <c r="U28" i="53"/>
  <c r="U27" i="73" s="1"/>
  <c r="R7" i="52"/>
  <c r="AD7" i="52" s="1"/>
  <c r="AP7" i="52" s="1"/>
  <c r="Z7" i="52"/>
  <c r="AL7" i="52" s="1"/>
  <c r="V7" i="52"/>
  <c r="AH7" i="52" s="1"/>
  <c r="AT17" i="76"/>
  <c r="K43" i="77" l="1"/>
  <c r="R44" i="76"/>
  <c r="R52" i="76" s="1"/>
  <c r="V43" i="77" s="1"/>
  <c r="L28" i="52"/>
  <c r="R9" i="52"/>
  <c r="AD9" i="52" s="1"/>
  <c r="AP9" i="52" s="1"/>
  <c r="V9" i="52"/>
  <c r="AH9" i="52" s="1"/>
  <c r="N16" i="52"/>
  <c r="Z9" i="52"/>
  <c r="AL9" i="52" s="1"/>
  <c r="O17" i="53"/>
  <c r="N11" i="52" s="1"/>
  <c r="N5" i="52"/>
  <c r="AD24" i="76"/>
  <c r="AH22" i="76"/>
  <c r="AD32" i="76"/>
  <c r="Z34" i="76"/>
  <c r="N4" i="52"/>
  <c r="O15" i="53"/>
  <c r="Z26" i="76"/>
  <c r="V28" i="76"/>
  <c r="V38" i="76" s="1"/>
  <c r="V42" i="76" s="1"/>
  <c r="AX17" i="76"/>
  <c r="V44" i="76" l="1"/>
  <c r="V52" i="76" s="1"/>
  <c r="V45" i="77" s="1"/>
  <c r="K45" i="77"/>
  <c r="Z11" i="52"/>
  <c r="AL11" i="52" s="1"/>
  <c r="R11" i="52"/>
  <c r="AD11" i="52" s="1"/>
  <c r="AP11" i="52" s="1"/>
  <c r="V11" i="52"/>
  <c r="AH11" i="52" s="1"/>
  <c r="AL22" i="76"/>
  <c r="AH24" i="76"/>
  <c r="AD26" i="76"/>
  <c r="Z28" i="76"/>
  <c r="Z38" i="76" s="1"/>
  <c r="Z42" i="76" s="1"/>
  <c r="AD34" i="76"/>
  <c r="AH32" i="76"/>
  <c r="R5" i="52"/>
  <c r="AD5" i="52" s="1"/>
  <c r="AP5" i="52" s="1"/>
  <c r="Z5" i="52"/>
  <c r="AL5" i="52" s="1"/>
  <c r="V5" i="52"/>
  <c r="AH5" i="52" s="1"/>
  <c r="V16" i="52"/>
  <c r="AH16" i="52" s="1"/>
  <c r="R16" i="52"/>
  <c r="Z16" i="52"/>
  <c r="AL16" i="52" s="1"/>
  <c r="O18" i="53"/>
  <c r="N12" i="52" s="1"/>
  <c r="N10" i="52"/>
  <c r="V4" i="52"/>
  <c r="AH4" i="52" s="1"/>
  <c r="Z4" i="52"/>
  <c r="AL4" i="52" s="1"/>
  <c r="R4" i="52"/>
  <c r="AD4" i="52" s="1"/>
  <c r="AP4" i="52" s="1"/>
  <c r="BB17" i="76"/>
  <c r="BF17" i="76" s="1"/>
  <c r="Z44" i="76" l="1"/>
  <c r="Z52" i="76" s="1"/>
  <c r="V47" i="77" s="1"/>
  <c r="K47" i="77"/>
  <c r="AD28" i="76"/>
  <c r="AD38" i="76" s="1"/>
  <c r="AD42" i="76" s="1"/>
  <c r="AH26" i="76"/>
  <c r="AL32" i="76"/>
  <c r="AH34" i="76"/>
  <c r="V10" i="52"/>
  <c r="AH10" i="52" s="1"/>
  <c r="Z10" i="52"/>
  <c r="AL10" i="52" s="1"/>
  <c r="R10" i="52"/>
  <c r="AD10" i="52" s="1"/>
  <c r="AP10" i="52" s="1"/>
  <c r="R12" i="52"/>
  <c r="AD12" i="52" s="1"/>
  <c r="AP12" i="52" s="1"/>
  <c r="N17" i="52"/>
  <c r="V12" i="52"/>
  <c r="AH12" i="52" s="1"/>
  <c r="Z12" i="52"/>
  <c r="AL12" i="52" s="1"/>
  <c r="BJ17" i="76"/>
  <c r="AP22" i="76"/>
  <c r="AL24" i="76"/>
  <c r="AD16" i="52"/>
  <c r="AP16" i="52" s="1"/>
  <c r="AD44" i="76" l="1"/>
  <c r="AD52" i="76" s="1"/>
  <c r="V49" i="77" s="1"/>
  <c r="K49" i="77"/>
  <c r="L18" i="52"/>
  <c r="L30" i="52" s="1"/>
  <c r="L32" i="52" s="1"/>
  <c r="Z17" i="52"/>
  <c r="AL17" i="52" s="1"/>
  <c r="V17" i="52"/>
  <c r="AH17" i="52" s="1"/>
  <c r="R17" i="52"/>
  <c r="AD17" i="52" s="1"/>
  <c r="AP17" i="52" s="1"/>
  <c r="BN17" i="76"/>
  <c r="AP24" i="76"/>
  <c r="AT22" i="76"/>
  <c r="AP32" i="76"/>
  <c r="AL34" i="76"/>
  <c r="AH28" i="76"/>
  <c r="AH38" i="76" s="1"/>
  <c r="AH42" i="76" s="1"/>
  <c r="AL26" i="76"/>
  <c r="AH44" i="76" l="1"/>
  <c r="AH52" i="76" s="1"/>
  <c r="V51" i="77" s="1"/>
  <c r="K51" i="77"/>
  <c r="N21" i="52"/>
  <c r="N20" i="52" s="1"/>
  <c r="L19" i="52"/>
  <c r="P79" i="77" s="1"/>
  <c r="BR17" i="76"/>
  <c r="AT24" i="76"/>
  <c r="AX22" i="76"/>
  <c r="AL28" i="76"/>
  <c r="AL38" i="76" s="1"/>
  <c r="AL42" i="76" s="1"/>
  <c r="AP26" i="76"/>
  <c r="AP34" i="76"/>
  <c r="AT32" i="76"/>
  <c r="AL44" i="76" l="1"/>
  <c r="AL52" i="76" s="1"/>
  <c r="V53" i="77" s="1"/>
  <c r="K53" i="77"/>
  <c r="AT34" i="76"/>
  <c r="AX32" i="76"/>
  <c r="AP28" i="76"/>
  <c r="AP38" i="76" s="1"/>
  <c r="AP42" i="76" s="1"/>
  <c r="AT26" i="76"/>
  <c r="AX24" i="76"/>
  <c r="BB22" i="76"/>
  <c r="BV17" i="76"/>
  <c r="AP44" i="76" l="1"/>
  <c r="AP52" i="76" s="1"/>
  <c r="V55" i="77" s="1"/>
  <c r="K55" i="77"/>
  <c r="BB24" i="76"/>
  <c r="BF22" i="76"/>
  <c r="AX26" i="76"/>
  <c r="AT28" i="76"/>
  <c r="AT38" i="76" s="1"/>
  <c r="AT42" i="76" s="1"/>
  <c r="AX38" i="76"/>
  <c r="AX42" i="76" s="1"/>
  <c r="AX34" i="76"/>
  <c r="BB32" i="76"/>
  <c r="AX44" i="76" l="1"/>
  <c r="K59" i="77"/>
  <c r="AT44" i="76"/>
  <c r="AT52" i="76" s="1"/>
  <c r="V57" i="77" s="1"/>
  <c r="K57" i="77"/>
  <c r="BF32" i="76"/>
  <c r="BB38" i="76"/>
  <c r="BB42" i="76" s="1"/>
  <c r="BB34" i="76"/>
  <c r="BB26" i="76"/>
  <c r="AX28" i="76"/>
  <c r="BJ22" i="76"/>
  <c r="BF24" i="76"/>
  <c r="BB44" i="76" l="1"/>
  <c r="K61" i="77"/>
  <c r="AX52" i="76"/>
  <c r="V59" i="77" s="1"/>
  <c r="BN22" i="76"/>
  <c r="BJ24" i="76"/>
  <c r="BB28" i="76"/>
  <c r="BF26" i="76"/>
  <c r="BF38" i="76"/>
  <c r="BF42" i="76" s="1"/>
  <c r="K63" i="77" s="1"/>
  <c r="BJ32" i="76"/>
  <c r="BF34" i="76"/>
  <c r="BB52" i="76" l="1"/>
  <c r="V61" i="77" s="1"/>
  <c r="BF44" i="76"/>
  <c r="BJ38" i="76"/>
  <c r="BJ42" i="76" s="1"/>
  <c r="BN32" i="76"/>
  <c r="BJ34" i="76"/>
  <c r="BF28" i="76"/>
  <c r="BJ26" i="76"/>
  <c r="BN26" i="76" s="1"/>
  <c r="BR22" i="76"/>
  <c r="BN24" i="76"/>
  <c r="BF52" i="76" l="1"/>
  <c r="V63" i="77" s="1"/>
  <c r="BJ44" i="76"/>
  <c r="K65" i="77"/>
  <c r="BJ28" i="76"/>
  <c r="BV22" i="76"/>
  <c r="BV24" i="76" s="1"/>
  <c r="BR24" i="76"/>
  <c r="BN28" i="76"/>
  <c r="BR26" i="76"/>
  <c r="BN38" i="76"/>
  <c r="BN42" i="76" s="1"/>
  <c r="BR32" i="76"/>
  <c r="BN34" i="76"/>
  <c r="BJ52" i="76" l="1"/>
  <c r="V65" i="77" s="1"/>
  <c r="BN44" i="76"/>
  <c r="K67" i="77"/>
  <c r="BR38" i="76"/>
  <c r="BR42" i="76" s="1"/>
  <c r="BR28" i="76"/>
  <c r="BV26" i="76"/>
  <c r="BV28" i="76" s="1"/>
  <c r="BR34" i="76"/>
  <c r="BV32" i="76"/>
  <c r="BN52" i="76" l="1"/>
  <c r="V67" i="77" s="1"/>
  <c r="BR44" i="76"/>
  <c r="K69" i="77"/>
  <c r="BV38" i="76"/>
  <c r="BV42" i="76" s="1"/>
  <c r="BV34" i="76"/>
  <c r="BR52" i="76" l="1"/>
  <c r="V69" i="77" s="1"/>
  <c r="BV44" i="76"/>
  <c r="K71" i="77"/>
  <c r="BV52" i="76" l="1"/>
  <c r="V71" i="77" s="1"/>
  <c r="V73" i="77" s="1" a="1"/>
  <c r="V73"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María Blázquez</author>
  </authors>
  <commentList>
    <comment ref="L14" authorId="0" shapeId="0" xr:uid="{00000000-0006-0000-0900-000001000000}">
      <text>
        <r>
          <rPr>
            <b/>
            <sz val="9"/>
            <rFont val="Tahoma"/>
            <charset val="134"/>
          </rPr>
          <t>Estimado</t>
        </r>
      </text>
    </comment>
    <comment ref="L16" authorId="0" shapeId="0" xr:uid="{00000000-0006-0000-0900-000002000000}">
      <text>
        <r>
          <rPr>
            <sz val="9"/>
            <rFont val="Tahoma"/>
            <charset val="134"/>
          </rPr>
          <t>Estimado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mls</author>
  </authors>
  <commentList>
    <comment ref="AK6" authorId="0" shapeId="0" xr:uid="{00000000-0006-0000-1400-000001000000}">
      <text>
        <r>
          <rPr>
            <b/>
            <sz val="8"/>
            <rFont val="Tahoma"/>
            <charset val="134"/>
          </rPr>
          <t>Coste de Reparación: % respecto al precio de adquisición. 0,01%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María Blázquez</author>
  </authors>
  <commentList>
    <comment ref="D11" authorId="0" shapeId="0" xr:uid="{00000000-0006-0000-2200-000001000000}">
      <text>
        <r>
          <rPr>
            <b/>
            <sz val="9"/>
            <rFont val="Tahoma"/>
            <charset val="134"/>
          </rPr>
          <t>María Blázquez:</t>
        </r>
        <r>
          <rPr>
            <sz val="9"/>
            <rFont val="Tahoma"/>
            <charset val="134"/>
          </rPr>
          <t xml:space="preserve">
Coste equipo / día</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<sst xmlns="http://schemas.openxmlformats.org/spreadsheetml/2006/main" count="2473" uniqueCount="1152">
  <si>
    <t>PRESUPUESTO BASE LICITACIÓN</t>
  </si>
  <si>
    <t>AÑO 1</t>
  </si>
  <si>
    <t>AÑO2</t>
  </si>
  <si>
    <t>AÑO3</t>
  </si>
  <si>
    <t>AÑO4</t>
  </si>
  <si>
    <t>a1</t>
  </si>
  <si>
    <t>Total Costes Conservación</t>
  </si>
  <si>
    <t>a2</t>
  </si>
  <si>
    <t>Total Costes Limpieza</t>
  </si>
  <si>
    <t>A = a1+a2</t>
  </si>
  <si>
    <t>TOTAL COSTES EJECUCIÓN MATERIAL</t>
  </si>
  <si>
    <t>B</t>
  </si>
  <si>
    <t>Gastos Generales</t>
  </si>
  <si>
    <t>C</t>
  </si>
  <si>
    <t>D=A+B+C</t>
  </si>
  <si>
    <t>TOTAL CANON ANUAL SIN IVA</t>
  </si>
  <si>
    <t>E=21% · a2</t>
  </si>
  <si>
    <t>IVA Conservación</t>
  </si>
  <si>
    <t>F=10% · a2</t>
  </si>
  <si>
    <t>IVA Limpieza</t>
  </si>
  <si>
    <t>G=D+E+F</t>
  </si>
  <si>
    <t>TOTAL CANON ANUAL CON IVA</t>
  </si>
  <si>
    <t>H</t>
  </si>
  <si>
    <t>TRABAJOS POR MEDICIÓN/SUMINISTRO SIN IVA</t>
  </si>
  <si>
    <t>I</t>
  </si>
  <si>
    <t>IVA Trabajos medición</t>
  </si>
  <si>
    <t>J=H+I</t>
  </si>
  <si>
    <t>TRABAJOS MEDICIÓN CON IVA</t>
  </si>
  <si>
    <t>K=D+H</t>
  </si>
  <si>
    <t>PRECIO BASE LICITACIÓN ANUAL SIN IVA</t>
  </si>
  <si>
    <t>P=G+J</t>
  </si>
  <si>
    <t>PRECIO BASE LICITACIÓN ANUAL CON IVA</t>
  </si>
  <si>
    <t>L</t>
  </si>
  <si>
    <t>TOTAL PRECIO BASE LICITACIÓN SIN IVA</t>
  </si>
  <si>
    <t>M</t>
  </si>
  <si>
    <t>TOTAL PRECIO BASE LICITACIÓN CON IVA</t>
  </si>
  <si>
    <t>%</t>
  </si>
  <si>
    <t>DESGLOSE COSTES DIRECTOS</t>
  </si>
  <si>
    <t>DESGLOSE COSTES INDIRECTOS</t>
  </si>
  <si>
    <t>VALOR ESTIMADO</t>
  </si>
  <si>
    <t>TOTAL PRECIO BASE LICITACIÓN ANUAL SIN IVA</t>
  </si>
  <si>
    <t>N</t>
  </si>
  <si>
    <t xml:space="preserve">PRÓRROGA: </t>
  </si>
  <si>
    <t>O</t>
  </si>
  <si>
    <t>MODIFICACIONES PREVISTAS (art.204 &lt;20% PBL)</t>
  </si>
  <si>
    <t>Coeficiente modificaciones previstas</t>
  </si>
  <si>
    <t>R=L+N+O</t>
  </si>
  <si>
    <t>TOTAL</t>
  </si>
  <si>
    <t>A. TOTAL COSTES DE PERSONAL</t>
  </si>
  <si>
    <t>B. TOTAL COSTES DE VEHÍCULOS Y MAQUINARIA</t>
  </si>
  <si>
    <t>C. TOTAL COSTES VESTUARIO, EQUIPAMIENTOS, ÚTILES Y HERRAMIENTAS</t>
  </si>
  <si>
    <t>D. TOTAL COSTES LOCALES E INSTALACIONES</t>
  </si>
  <si>
    <t>E. TOTAL COSTES MATERIALES DE CONSERVACIÓN</t>
  </si>
  <si>
    <t>F. TOTAL OTROS COSTES</t>
  </si>
  <si>
    <t>Beneficio Industrial</t>
  </si>
  <si>
    <t xml:space="preserve">CANON ANUAL CONSERVACIÓN </t>
  </si>
  <si>
    <t>CANON ANUAL LIMPIEZA</t>
  </si>
  <si>
    <t>TRABAJOS POR MEDICIÓN / SUMINISTRO</t>
  </si>
  <si>
    <t>TRABAJOS</t>
  </si>
  <si>
    <t>MEDICIÓN ESTIMADA</t>
  </si>
  <si>
    <t>PRECIO UNITARIO</t>
  </si>
  <si>
    <t>COSTE ESTIMADO</t>
  </si>
  <si>
    <t>Suministro de elementos de redes de riego</t>
  </si>
  <si>
    <t>m2</t>
  </si>
  <si>
    <t>Renovación</t>
  </si>
  <si>
    <t>Reparación por vandalismo y/o eventos climáticos</t>
  </si>
  <si>
    <t>Suministro de elementos vegetales</t>
  </si>
  <si>
    <t>Árbol contenedor</t>
  </si>
  <si>
    <t>Árbol cepellón</t>
  </si>
  <si>
    <t>Arbusto</t>
  </si>
  <si>
    <t>Suministro de tratamiento integral plagas</t>
  </si>
  <si>
    <t>Herbicida  - Ácido Acético</t>
  </si>
  <si>
    <t>Medida Cultural Potenciador Biológico foliar</t>
  </si>
  <si>
    <t>Medida Cultural Potenciador Biológico radicular</t>
  </si>
  <si>
    <t>Medida Cultural Potenciador Enmiendas minerales</t>
  </si>
  <si>
    <t>Suministro de materiales de conservación o reposición  de elementos de obra civil</t>
  </si>
  <si>
    <t>Reparación</t>
  </si>
  <si>
    <t>Suministro de materiales de conservación o reposición de mobiliario y juegos</t>
  </si>
  <si>
    <t>Reposición bancos vandalismo</t>
  </si>
  <si>
    <t>Renovación bancos</t>
  </si>
  <si>
    <t>Renovación juegos infantiles</t>
  </si>
  <si>
    <t>Reposición juegos infantiles</t>
  </si>
  <si>
    <t>Reposición A.mayores</t>
  </si>
  <si>
    <t>Maquinaria específica para operaciones extraordinarias</t>
  </si>
  <si>
    <t>Jornada</t>
  </si>
  <si>
    <t>Plataforma poda &gt; 20 m</t>
  </si>
  <si>
    <t xml:space="preserve">Retro-Excavadora 95 CV </t>
  </si>
  <si>
    <t>Estudios proyectos y asistencias técnicas</t>
  </si>
  <si>
    <t>Estudios de plagas y enfermedades</t>
  </si>
  <si>
    <t>Horas técnico especialista</t>
  </si>
  <si>
    <t>TOTAL COSTE DE EJECUCIÓN MATERIAL</t>
  </si>
  <si>
    <t>TOTAL TRABAJOS POR MEDICIÓN/SUMINISTRO SIN IVA</t>
  </si>
  <si>
    <t xml:space="preserve">IVA </t>
  </si>
  <si>
    <t xml:space="preserve">TOTAL TRABAJOS POR MEDICIÓN/SUMINISTRO CON IVA </t>
  </si>
  <si>
    <t>RESUMEN COSTES DE PERSONAL ANUAL</t>
  </si>
  <si>
    <t>CONCEPTOS</t>
  </si>
  <si>
    <t>COSTE ANUAL</t>
  </si>
  <si>
    <t>A.1</t>
  </si>
  <si>
    <t>COSTES SALARIALES DEL PERSONAL A SUBROGAR</t>
  </si>
  <si>
    <t>A.2</t>
  </si>
  <si>
    <t>COSTES SALARIALES DEL PERSONAL DE NUEVA CONTRATACIÓN</t>
  </si>
  <si>
    <t>A.3</t>
  </si>
  <si>
    <t>SUSTITUCIÓN DE VACACIONES</t>
  </si>
  <si>
    <t>A.4</t>
  </si>
  <si>
    <t>SUSTITUCIÓN HORAS FORMACIÓN</t>
  </si>
  <si>
    <t>A.5</t>
  </si>
  <si>
    <t>ABSENTISMO (Y BAJAS)</t>
  </si>
  <si>
    <t>A.6</t>
  </si>
  <si>
    <t>PELIGROSIDAD Y OTROS</t>
  </si>
  <si>
    <t>Nº OPERARIOS</t>
  </si>
  <si>
    <t>Nº JORNADAS /MES</t>
  </si>
  <si>
    <t>Nº MESES</t>
  </si>
  <si>
    <t>TOTAL JORNADAS</t>
  </si>
  <si>
    <t>COSTE JORNADA</t>
  </si>
  <si>
    <t>TOTAL COSTE</t>
  </si>
  <si>
    <t>Plus peligrosidad para todo el personal salvo poda</t>
  </si>
  <si>
    <t>Plus de poda en la modalidad de trepa</t>
  </si>
  <si>
    <t>Plus de poda en la modalidad de cesta</t>
  </si>
  <si>
    <t>Plus de poda por manejo de astilladora</t>
  </si>
  <si>
    <t>Horarios nocturnos para riegos y tratamientos fit.</t>
  </si>
  <si>
    <t>Gratificaciones por permanencia y otros</t>
  </si>
  <si>
    <t>TOTAL COSTES DE PERSONAL</t>
  </si>
  <si>
    <t>Inicio contrato año</t>
  </si>
  <si>
    <t>RESUMEN PERSONAL</t>
  </si>
  <si>
    <t>Final contrato año</t>
  </si>
  <si>
    <t>Peón</t>
  </si>
  <si>
    <t>Auxiliar jardinero/a</t>
  </si>
  <si>
    <t>Jardinero/a</t>
  </si>
  <si>
    <t>Oficial Jardinero/a</t>
  </si>
  <si>
    <t>Encargado/a</t>
  </si>
  <si>
    <t>Técnico/a</t>
  </si>
  <si>
    <t>Administrativo/a</t>
  </si>
  <si>
    <t>CONVENIO ESTATAL 2021-2024</t>
  </si>
  <si>
    <t>COSTES UNITARIOS DE PERSONAL</t>
  </si>
  <si>
    <t>ANEXO I Tablas salariales</t>
  </si>
  <si>
    <t>TABLAS SALARIALES AÑO 2023</t>
  </si>
  <si>
    <t>Salario base mensual anualidades 2021-2024</t>
  </si>
  <si>
    <t>OFICIOS</t>
  </si>
  <si>
    <t>Aprendiz jardinero</t>
  </si>
  <si>
    <t>CATEGORÍA</t>
  </si>
  <si>
    <t>SB</t>
  </si>
  <si>
    <t>P. CONS VES</t>
  </si>
  <si>
    <t>P. TRANS</t>
  </si>
  <si>
    <t>P. EXTRA</t>
  </si>
  <si>
    <t>P. VERDE</t>
  </si>
  <si>
    <t>P. VINC</t>
  </si>
  <si>
    <t>Limpiador/a</t>
  </si>
  <si>
    <t>Vigilante</t>
  </si>
  <si>
    <t>Oficial jardinero/a</t>
  </si>
  <si>
    <t>Oficial conductor</t>
  </si>
  <si>
    <t>Maestro jardinero</t>
  </si>
  <si>
    <t>Encargado</t>
  </si>
  <si>
    <t>ADMINISTRATIVOS</t>
  </si>
  <si>
    <t>Aprendiz administrativo/a</t>
  </si>
  <si>
    <t>Aspirante</t>
  </si>
  <si>
    <t>Auxiliar administrativo/a</t>
  </si>
  <si>
    <t>Oficial administrativo/a</t>
  </si>
  <si>
    <t>Jefe/a administrativo/a</t>
  </si>
  <si>
    <t>TÉCNICOS</t>
  </si>
  <si>
    <t>Delineante</t>
  </si>
  <si>
    <t>Técnico/a no titolado/a</t>
  </si>
  <si>
    <t>Técnico/a titulado/a</t>
  </si>
  <si>
    <t>Técnico/a diplomado/a</t>
  </si>
  <si>
    <t>Técnico/a licenciado/a</t>
  </si>
  <si>
    <t>ANEXO II Tablas de vinculación y antigüedades</t>
  </si>
  <si>
    <t>Antigüedad</t>
  </si>
  <si>
    <t>Personal oficios manuales</t>
  </si>
  <si>
    <t>Personal administrativo</t>
  </si>
  <si>
    <t>Personal técnico</t>
  </si>
  <si>
    <t>2 años</t>
  </si>
  <si>
    <t>TABLAS SALARIALES AÑO 2024</t>
  </si>
  <si>
    <t>6 años</t>
  </si>
  <si>
    <t>10 años</t>
  </si>
  <si>
    <t>14 años</t>
  </si>
  <si>
    <t>18 años</t>
  </si>
  <si>
    <t>20 años</t>
  </si>
  <si>
    <t>22 años</t>
  </si>
  <si>
    <t>24 años</t>
  </si>
  <si>
    <t>26 años</t>
  </si>
  <si>
    <t>28 años</t>
  </si>
  <si>
    <t>TABLAS SALARIALES AÑO 2025</t>
  </si>
  <si>
    <t>INCREMENTO</t>
  </si>
  <si>
    <t>Otras tablas</t>
  </si>
  <si>
    <t>PLUSES TRABAJOS TÓXICOS, PENOSOS Y PELIGROSOS 2021-2024</t>
  </si>
  <si>
    <t>Plus de trabajos tóxicos, penosos o peligrosos. Día completo.</t>
  </si>
  <si>
    <t>Plus de trabajos tóxicos, penosos o peligrosos. Hora o fracción superior a treinta minutos</t>
  </si>
  <si>
    <t>Plus de trabajos tóxicos, penosos o peligrosos. Fracción inferior a treinta minutos</t>
  </si>
  <si>
    <t>DESPLAZAMIENTOS Y DIETAS</t>
  </si>
  <si>
    <t>Media dieta</t>
  </si>
  <si>
    <t>Dieta completa</t>
  </si>
  <si>
    <t>GRATIFICACIÓN POR PERMANENCIA</t>
  </si>
  <si>
    <t>TABLAS SALARIALES AÑO 2026</t>
  </si>
  <si>
    <t>A los 60 años</t>
  </si>
  <si>
    <t>A los 61 años</t>
  </si>
  <si>
    <t>A los 62 años</t>
  </si>
  <si>
    <t>A los 63 años</t>
  </si>
  <si>
    <t>A los 64 años</t>
  </si>
  <si>
    <t>BENEFICIOS SOCIALES</t>
  </si>
  <si>
    <t>Por matrimonio de la persona trabajadora</t>
  </si>
  <si>
    <t>Por nacimiento de cada hijo</t>
  </si>
  <si>
    <t>TABLAS SALARIALES AÑO 2027</t>
  </si>
  <si>
    <t>TABLAS SALARIALES AÑO 2028</t>
  </si>
  <si>
    <t>MEDIOS PERSONALES - INFORMACIÓN COSTES SOBRE EL PERSONAL A SUBROGAR</t>
  </si>
  <si>
    <t>GÉNERO</t>
  </si>
  <si>
    <t>TIPO CONTRATO</t>
  </si>
  <si>
    <t>FECHA ANTIGÜEDAD</t>
  </si>
  <si>
    <t>ANTIGÜEDAD MEDIA</t>
  </si>
  <si>
    <t>VENCIMIENTO CONTRATO</t>
  </si>
  <si>
    <t>JORNADA</t>
  </si>
  <si>
    <t>SALARIO BASE MENSUAL (S.B.M.)</t>
  </si>
  <si>
    <t>COSTE ANTIGÜEDAD MES (C.A.M.)</t>
  </si>
  <si>
    <t>PAGA EXTRA (S.B.M. + C.A.M.)</t>
  </si>
  <si>
    <t>PAGA VERDE</t>
  </si>
  <si>
    <t>PAGA DE VINCULACIÓN</t>
  </si>
  <si>
    <t>PLUS DE NOCTURNIDAD</t>
  </si>
  <si>
    <t>PLUS TRABAJOS TÓXICOS PENOSOS O PELIGROSOS</t>
  </si>
  <si>
    <t>OTROS PLUSES MES COTIZABLES AÑO</t>
  </si>
  <si>
    <t>SUMA CONCEPTOS COTIZABLES AÑO</t>
  </si>
  <si>
    <t>PLUS TRANSPORTE MES</t>
  </si>
  <si>
    <t>PLUS VESTUARIO AÑO</t>
  </si>
  <si>
    <t>SUMA CONCEPTOS NO COTIZABLES AÑO</t>
  </si>
  <si>
    <t>% COTIZACIÓN SEGURIDAD SOCIAL 32%-38%</t>
  </si>
  <si>
    <t>IMPORTE SEGURIDAD SOCIAL</t>
  </si>
  <si>
    <t>TOTAL COSTE EMPRESA POR UD</t>
  </si>
  <si>
    <t>TOTAL COSTE EMPRESA POR CATEGORÍA</t>
  </si>
  <si>
    <t>FRECUENCIA / AÑO</t>
  </si>
  <si>
    <t xml:space="preserve"> PEÓN  </t>
  </si>
  <si>
    <t xml:space="preserve"> AUXILIAR JARD.  </t>
  </si>
  <si>
    <t>F</t>
  </si>
  <si>
    <t xml:space="preserve"> JARDINERO/A</t>
  </si>
  <si>
    <t xml:space="preserve"> OFICIAL JARD.  </t>
  </si>
  <si>
    <t xml:space="preserve"> OFICIAL COND.  </t>
  </si>
  <si>
    <t xml:space="preserve"> ENCARGADO/A</t>
  </si>
  <si>
    <t xml:space="preserve"> TÉCNICO/A DIPLOMADO/A  </t>
  </si>
  <si>
    <t xml:space="preserve"> TÉCNICO/A LICENCIADO/A  </t>
  </si>
  <si>
    <t xml:space="preserve"> ADMINISTRATIVO/A  </t>
  </si>
  <si>
    <t>TOTAL COSTE MEDIOS A SUBROGAR</t>
  </si>
  <si>
    <t xml:space="preserve"> </t>
  </si>
  <si>
    <t>MEDIOS PERSONALES - CÁLCULO COSTES ANTIGÜEDAD</t>
  </si>
  <si>
    <t>AÑO ANTIGÜEDAD</t>
  </si>
  <si>
    <t>AÑO INICIO SERVICIO</t>
  </si>
  <si>
    <t>TRAMO ANTIGËDAD INICIO</t>
  </si>
  <si>
    <t>AÑO FINAL SERVICIO</t>
  </si>
  <si>
    <t>TRAMO ANTIGËDAD FINAL</t>
  </si>
  <si>
    <t>TRAMO SUPERIOR ANTIGÜEDAD MEDIA</t>
  </si>
  <si>
    <t>Personal Oficios</t>
  </si>
  <si>
    <t>Personal Administrativo</t>
  </si>
  <si>
    <t>Personal Técnico</t>
  </si>
  <si>
    <t>AÑO ANTUGÜEDAD</t>
  </si>
  <si>
    <t>RESUMEN COSTES VEHÍCULOS Y MAQUINARIA</t>
  </si>
  <si>
    <t>B.1</t>
  </si>
  <si>
    <t>VEHÍCULOS</t>
  </si>
  <si>
    <t>B.2</t>
  </si>
  <si>
    <t>MAQUINARIA</t>
  </si>
  <si>
    <t>TOTAL COSTES DE VEHÍCULOS Y MAQUINARIA</t>
  </si>
  <si>
    <t>Gastos financieros aplicados</t>
  </si>
  <si>
    <t>CONSUMO DE ACEITE DE UN MOTOR (l. / h.)</t>
  </si>
  <si>
    <t>POTENCIA MOTOR</t>
  </si>
  <si>
    <t>CONSUMO ACEITE</t>
  </si>
  <si>
    <t>kw.</t>
  </si>
  <si>
    <t>cv</t>
  </si>
  <si>
    <t>l./ h.</t>
  </si>
  <si>
    <t>MÉTODO ESTIMADO</t>
  </si>
  <si>
    <t>PRECIO LUBRICANTE</t>
  </si>
  <si>
    <t>CONSUMO</t>
  </si>
  <si>
    <t>COSTE LUBRICANTES</t>
  </si>
  <si>
    <t>€ / l.</t>
  </si>
  <si>
    <t>l. / h.</t>
  </si>
  <si>
    <t>€ / h.</t>
  </si>
  <si>
    <t>COSTE litro/Lubricante (2T)</t>
  </si>
  <si>
    <t>COSTE litro/Lubricante (4T)</t>
  </si>
  <si>
    <t>EFICIENCIA DEL COMBUSTIBLE</t>
  </si>
  <si>
    <t>CONSUMO ESPECÍFICO</t>
  </si>
  <si>
    <t>CONSUMO ESPECÍFICO*CM</t>
  </si>
  <si>
    <t>EFICINCIA DEL COMB.</t>
  </si>
  <si>
    <t>Carga Motor</t>
  </si>
  <si>
    <t>kw. x h. / l.</t>
  </si>
  <si>
    <t>Factor</t>
  </si>
  <si>
    <t>L/(kw*h)</t>
  </si>
  <si>
    <t>kwh/L/CM</t>
  </si>
  <si>
    <t>ASAE</t>
  </si>
  <si>
    <t>l. / kw. x h.</t>
  </si>
  <si>
    <t>Combinado</t>
  </si>
  <si>
    <t>PRECIOS UNITARIOS DE VEHÍCULOS. INVERSIÓN, COMBUSTIBLE Y MANTENIMIENTO</t>
  </si>
  <si>
    <t>DATOS GENERALES</t>
  </si>
  <si>
    <t>COSTES FIJOS ANUALES / VEHÍCULO</t>
  </si>
  <si>
    <t>MANTENIMIENTO</t>
  </si>
  <si>
    <t>COSTE TOTAL AÑO</t>
  </si>
  <si>
    <t>KM / AÑO</t>
  </si>
  <si>
    <t>COMBUSTIBLE</t>
  </si>
  <si>
    <t>LUBRICANTE</t>
  </si>
  <si>
    <t>REPUESTOS</t>
  </si>
  <si>
    <t>COSTE TOTAL (€/jornada)</t>
  </si>
  <si>
    <t>Uds</t>
  </si>
  <si>
    <t>DESCRIPCIÓN</t>
  </si>
  <si>
    <t>MOTOR</t>
  </si>
  <si>
    <t>USO</t>
  </si>
  <si>
    <t>CARGA (Kg)</t>
  </si>
  <si>
    <t>AÑO ADQUISICIÓN</t>
  </si>
  <si>
    <t>VIDA ÚTIL</t>
  </si>
  <si>
    <t>AÑOS SERVICIO</t>
  </si>
  <si>
    <t>PRECIO ALQUILER (mes)</t>
  </si>
  <si>
    <t>PLAZAS (Nº)</t>
  </si>
  <si>
    <t>TOTAL INVERSIÓN</t>
  </si>
  <si>
    <t>AMORTIZ./UD</t>
  </si>
  <si>
    <t>GASTOS FINANCIEROS /UD</t>
  </si>
  <si>
    <t>SEGUROS Y TASAS /UD</t>
  </si>
  <si>
    <t>VALOR RESIDUAL</t>
  </si>
  <si>
    <t>TOTAL COSTES FIJOS / UD</t>
  </si>
  <si>
    <t>COSTE (€/jornada)</t>
  </si>
  <si>
    <t>CONSUMO Lubric. (l/año)</t>
  </si>
  <si>
    <t>COSTE Lub. (€/litro)</t>
  </si>
  <si>
    <t>COSTE Lubr. (€/jornada)</t>
  </si>
  <si>
    <t>COSTE Rep. (€/jornada)</t>
  </si>
  <si>
    <t>A</t>
  </si>
  <si>
    <t>C´</t>
  </si>
  <si>
    <t>D=A·B</t>
  </si>
  <si>
    <t>E=B/C</t>
  </si>
  <si>
    <t>G</t>
  </si>
  <si>
    <t>H=E+F+G</t>
  </si>
  <si>
    <t>Camiones 8.000 - 30.000 Kg</t>
  </si>
  <si>
    <t>DIESEL</t>
  </si>
  <si>
    <t>Transporte varios</t>
  </si>
  <si>
    <t>30.000 kg</t>
  </si>
  <si>
    <t>26.000 kg</t>
  </si>
  <si>
    <t>TRES EJES BASCULANTE</t>
  </si>
  <si>
    <t>20.000 kg</t>
  </si>
  <si>
    <t>12.000 kg</t>
  </si>
  <si>
    <t>18.000 kg</t>
  </si>
  <si>
    <t>8.000 kg</t>
  </si>
  <si>
    <t>15.000 kg</t>
  </si>
  <si>
    <t>DOBLE CABINA BASCULANTE</t>
  </si>
  <si>
    <t>Transporte contenedores</t>
  </si>
  <si>
    <t>14.000 kg</t>
  </si>
  <si>
    <t>COMPACTADOR BASURA</t>
  </si>
  <si>
    <t>Recogida residuos</t>
  </si>
  <si>
    <t>12.500 kg</t>
  </si>
  <si>
    <t>CISTERNA 10000L</t>
  </si>
  <si>
    <t>Riego y limpieza</t>
  </si>
  <si>
    <t>Furgones</t>
  </si>
  <si>
    <t>CAJA CERRADA 3 Plazas</t>
  </si>
  <si>
    <t>ELECTR.</t>
  </si>
  <si>
    <t>900 Kg</t>
  </si>
  <si>
    <t>HIBRIDO</t>
  </si>
  <si>
    <t>3000 kg</t>
  </si>
  <si>
    <t xml:space="preserve">CAJA CERRADA 6 Plazas </t>
  </si>
  <si>
    <t>2.835 kg</t>
  </si>
  <si>
    <t xml:space="preserve">CAJA CERRADA 9 Plazas </t>
  </si>
  <si>
    <t>2.920 kg</t>
  </si>
  <si>
    <t>CAJA ABIERTA Cabina SIMPLE</t>
  </si>
  <si>
    <t>3.500 kg</t>
  </si>
  <si>
    <t>CAJA ABIERTA Cabina DOBLE</t>
  </si>
  <si>
    <t>Furgonetas</t>
  </si>
  <si>
    <t>FURGONETA 5P</t>
  </si>
  <si>
    <t>500 Kg</t>
  </si>
  <si>
    <t>GASOLINA</t>
  </si>
  <si>
    <t>1300 kg</t>
  </si>
  <si>
    <t>Turismos y todoterrenos</t>
  </si>
  <si>
    <t>Turismos y Todoterrenos</t>
  </si>
  <si>
    <t>TURISMO 2 plazas</t>
  </si>
  <si>
    <t>Inspección</t>
  </si>
  <si>
    <t>400 kg</t>
  </si>
  <si>
    <t>VEHÍCULO TURISMO 5P</t>
  </si>
  <si>
    <t>1120 kg</t>
  </si>
  <si>
    <t>VEHICULO TURISMO 5P</t>
  </si>
  <si>
    <t>VEHICULO TODO-TERRENO</t>
  </si>
  <si>
    <t>VEHÍCULO TODO-TERRENO</t>
  </si>
  <si>
    <t>VEHÍCULO 4X4 TODOTERRENO</t>
  </si>
  <si>
    <t>2.805 kg</t>
  </si>
  <si>
    <t>Varios</t>
  </si>
  <si>
    <t>CAJA ABIERTA MINIVAN Cabina SIMPLE</t>
  </si>
  <si>
    <t>Transporte residuos</t>
  </si>
  <si>
    <t>CAJA ABIERTA MINIVAN Cabina DOBLE</t>
  </si>
  <si>
    <t>GLP</t>
  </si>
  <si>
    <t>685 kg</t>
  </si>
  <si>
    <t>CAJA CERRADA MINIVAN Cabina SIMPLE</t>
  </si>
  <si>
    <t>CAJA ABIERTA 3P PLATAFORMA 17 m</t>
  </si>
  <si>
    <t>Poda en altura</t>
  </si>
  <si>
    <t>250 kg</t>
  </si>
  <si>
    <t>Transporte varios. Vehículo</t>
  </si>
  <si>
    <t>680 kg</t>
  </si>
  <si>
    <t>600 kg</t>
  </si>
  <si>
    <t>TOTAL COSTES VEHÍCULOS</t>
  </si>
  <si>
    <t>PRECIOS UNITARIOS DE MAQUINARIA. INVERSIÓN, COMBUSTIBLE Y MANTENIMIENTO</t>
  </si>
  <si>
    <t>nº horas uso / jornada</t>
  </si>
  <si>
    <t>Coeficiente IPC</t>
  </si>
  <si>
    <t>LABOR</t>
  </si>
  <si>
    <t>HORAS/año</t>
  </si>
  <si>
    <t>VIDA ÚTIL (años)</t>
  </si>
  <si>
    <t>Potencia (cv)</t>
  </si>
  <si>
    <t>Nº DE DÍAS DE USO</t>
  </si>
  <si>
    <t>CONSUMO Lubric. (l/h)</t>
  </si>
  <si>
    <t>CONSUMO TOTAL Lubr.</t>
  </si>
  <si>
    <t>CONSUMO Comb. (l/h)</t>
  </si>
  <si>
    <t>CONSUMO TOTAL Comb.</t>
  </si>
  <si>
    <t>COSTE Comb. (€/litro)</t>
  </si>
  <si>
    <t>COSTE Comb. (€/jornada)</t>
  </si>
  <si>
    <t>Labores sobre céspedes y praderas naturales</t>
  </si>
  <si>
    <t xml:space="preserve">SEGADORA 53 cm corte </t>
  </si>
  <si>
    <t>4T</t>
  </si>
  <si>
    <t>Segadora de césped</t>
  </si>
  <si>
    <t xml:space="preserve">SEGADORA 66 cm corte </t>
  </si>
  <si>
    <t xml:space="preserve">SEGADORA 91 cm corte </t>
  </si>
  <si>
    <t>SEGADORA 90 cm corte giro 0</t>
  </si>
  <si>
    <t xml:space="preserve">PLATAFORMA SIEGA 132 cm corte </t>
  </si>
  <si>
    <t xml:space="preserve">MINITRACTOR 127 cm corte </t>
  </si>
  <si>
    <t>Mantenimiento de cesped</t>
  </si>
  <si>
    <t>TRACTOR DE SIEGA 137 cm corte</t>
  </si>
  <si>
    <t>Tractor segador de césped</t>
  </si>
  <si>
    <t xml:space="preserve">DESBROZADORA Cuchillas centrífuga 51 cm </t>
  </si>
  <si>
    <t>2T</t>
  </si>
  <si>
    <t>Desbrozadora trac. Manual</t>
  </si>
  <si>
    <t xml:space="preserve">DESBROZADORA Cuchilas centrifuga 95 cm </t>
  </si>
  <si>
    <t>Desbrozadora de asiento</t>
  </si>
  <si>
    <t xml:space="preserve">DESBROZADORA hilo 1,4 Kw </t>
  </si>
  <si>
    <t>Desbrozadora trac. manual</t>
  </si>
  <si>
    <t>DESBROZADORA HILO/ CUCHILLA 2,8 CV</t>
  </si>
  <si>
    <t>Desbrozadora mixta</t>
  </si>
  <si>
    <t xml:space="preserve">MOTOGUADAÑA Cuchillas 2,2 Kw </t>
  </si>
  <si>
    <t>Motoguadaña de mochila</t>
  </si>
  <si>
    <t>PERFILADORA de hilo 0,7 Kw</t>
  </si>
  <si>
    <t>Perfiladora de césped</t>
  </si>
  <si>
    <t>PERFILADORA Cuchilla vertical</t>
  </si>
  <si>
    <t xml:space="preserve">ESCARIFICADORA Verticut 50 cm 6 CV </t>
  </si>
  <si>
    <t xml:space="preserve">Escarificadora trac. man. </t>
  </si>
  <si>
    <t xml:space="preserve">ESCARIFICADORA 100 cm 5 CV </t>
  </si>
  <si>
    <t>Praderas de cesped</t>
  </si>
  <si>
    <t>AIREADORA "Verticut"</t>
  </si>
  <si>
    <t>TOLVA ABONADO apero</t>
  </si>
  <si>
    <t>Abonado césped</t>
  </si>
  <si>
    <t xml:space="preserve">RULO </t>
  </si>
  <si>
    <t>Mantenimiento cesped</t>
  </si>
  <si>
    <t>Laboreo del terreno. Plantaciones</t>
  </si>
  <si>
    <t xml:space="preserve">MINICULTIVADOR 49 cc </t>
  </si>
  <si>
    <t>Laboreo del terreno</t>
  </si>
  <si>
    <t xml:space="preserve">MOTOAZADA 163 cc </t>
  </si>
  <si>
    <t>Laboreo del terreno.</t>
  </si>
  <si>
    <t xml:space="preserve">MOTOCULTOR 198 cc </t>
  </si>
  <si>
    <t>Cava de zonas verdes</t>
  </si>
  <si>
    <t>AHOYADORA</t>
  </si>
  <si>
    <t xml:space="preserve">Poda </t>
  </si>
  <si>
    <t xml:space="preserve">CORTASETOS 60 cm corte </t>
  </si>
  <si>
    <t>Cortasetos 650 W</t>
  </si>
  <si>
    <t xml:space="preserve">MOTOSIERRA Ligera 1,8 CV </t>
  </si>
  <si>
    <t>Poda directa en árbol. Ligera</t>
  </si>
  <si>
    <t xml:space="preserve">MOTOSIERRA Pequeña 3,5 CV </t>
  </si>
  <si>
    <t>Poda y tala de arbolado</t>
  </si>
  <si>
    <t>MOTOSIERRA Mediana 4,1 CV</t>
  </si>
  <si>
    <t xml:space="preserve">MOTOSIERRA Grande 4,6 CV </t>
  </si>
  <si>
    <t xml:space="preserve">PODADORA en Altura 1,9 CV </t>
  </si>
  <si>
    <t xml:space="preserve">CORTASETOS Ligero 60 cm corte </t>
  </si>
  <si>
    <t>Cortasetos</t>
  </si>
  <si>
    <t xml:space="preserve">CORTASETOS 75 cm corte </t>
  </si>
  <si>
    <t>Cortasetos doble cuchilla</t>
  </si>
  <si>
    <t xml:space="preserve">CORTASETOS 100 cm corte </t>
  </si>
  <si>
    <t>Cortasetos cuch. 100 cm corte</t>
  </si>
  <si>
    <t xml:space="preserve">CORTASETOS altura 50 cm 1,3 CV </t>
  </si>
  <si>
    <t>Cortasetos en altura. 50 cm</t>
  </si>
  <si>
    <t xml:space="preserve">CORTASETOS altura 50 cm 1,4 CV </t>
  </si>
  <si>
    <t xml:space="preserve">BIOTRITURADORA 15 CV </t>
  </si>
  <si>
    <t>Astilladora</t>
  </si>
  <si>
    <t xml:space="preserve">BIOTRITURADORA 20 CV </t>
  </si>
  <si>
    <t xml:space="preserve">DESFIBRADORA 115 CV </t>
  </si>
  <si>
    <t>Trabajos de poda. Desfibrado</t>
  </si>
  <si>
    <t>DESTOCONADORA</t>
  </si>
  <si>
    <t>Eliminación de tocones</t>
  </si>
  <si>
    <t>Limpieza</t>
  </si>
  <si>
    <t>SOPLADORA Mochila</t>
  </si>
  <si>
    <t>Varios. Limpieza</t>
  </si>
  <si>
    <t xml:space="preserve">HIDROLIMPIADORA Agua Cal.4,5Kw </t>
  </si>
  <si>
    <t>HIDROLIMPIADORA Agua Fría 7,8Kw</t>
  </si>
  <si>
    <t>TRATAMIENTO ARENA</t>
  </si>
  <si>
    <t>Limpieza y desinfección arena</t>
  </si>
  <si>
    <t xml:space="preserve">SOPLADORA Mochila 64,8 cc </t>
  </si>
  <si>
    <t>CARRITO de Limpieza</t>
  </si>
  <si>
    <t>Tratamientos Fitosanitarios</t>
  </si>
  <si>
    <t>MOCHILA Pulverizadora</t>
  </si>
  <si>
    <t>Trat. fitosanitarios y varios</t>
  </si>
  <si>
    <t>MOTOPULVERIZADOR 13 litros</t>
  </si>
  <si>
    <t>CARRETILLA de Tratamientos</t>
  </si>
  <si>
    <t>CUBA 1000l</t>
  </si>
  <si>
    <t>CAÑON PULVERIZADOR</t>
  </si>
  <si>
    <t>Riego</t>
  </si>
  <si>
    <t xml:space="preserve">DEPÓSITO 1000 l </t>
  </si>
  <si>
    <t xml:space="preserve">MOTOBOMBA 5,5 CV </t>
  </si>
  <si>
    <t>CISTERNA 8000 l remolque</t>
  </si>
  <si>
    <t>Trabajos Forestales</t>
  </si>
  <si>
    <t>TRACTOR 48 CV</t>
  </si>
  <si>
    <t>Desbroce, laboreo</t>
  </si>
  <si>
    <t>TRACTOR 83 CV</t>
  </si>
  <si>
    <t>CULTIVADOR (apero)</t>
  </si>
  <si>
    <t>GRADA de Discos (apero)</t>
  </si>
  <si>
    <t>BRAZO DESBROZADOR para Tractor (apero)</t>
  </si>
  <si>
    <t>Desbroce cunetas/taludes</t>
  </si>
  <si>
    <t>AIREADORA (apero)</t>
  </si>
  <si>
    <t>Aireador pradera</t>
  </si>
  <si>
    <t>SEMBRADORA Arrastrada (apero)</t>
  </si>
  <si>
    <t>Semillado de césped</t>
  </si>
  <si>
    <t>SEGADORA Arrastrada (apero)</t>
  </si>
  <si>
    <t>Siega de pasto fino</t>
  </si>
  <si>
    <t>RECEBADORA de Mantillo (apero)</t>
  </si>
  <si>
    <t>DESBROZADORA Articulada (apero)</t>
  </si>
  <si>
    <t>Desbrozadora</t>
  </si>
  <si>
    <t>DESBROZADORA de Martillos (apero)</t>
  </si>
  <si>
    <t>BIOTRITURADORA Grande (apero)</t>
  </si>
  <si>
    <t>Poda de árboles y arbustos</t>
  </si>
  <si>
    <t>BIOTRITURADORA Mediana (apero)</t>
  </si>
  <si>
    <t>Obra Civil. Conservación equipamiento urbano</t>
  </si>
  <si>
    <t xml:space="preserve">RETRO-EXCAVADORA 95 CV </t>
  </si>
  <si>
    <t>Maquinaria obra civil. Varios</t>
  </si>
  <si>
    <t xml:space="preserve">MINI-CARGADORA 60 CV </t>
  </si>
  <si>
    <t xml:space="preserve">DUMPER Autocargable </t>
  </si>
  <si>
    <t>HORMIGONERA</t>
  </si>
  <si>
    <t>Producción de hormigón</t>
  </si>
  <si>
    <t>MARTILLO PICADOR</t>
  </si>
  <si>
    <t>Obra Civil</t>
  </si>
  <si>
    <t xml:space="preserve">ZANJADORA </t>
  </si>
  <si>
    <t>Zanjadora para riego</t>
  </si>
  <si>
    <t>RODILLO Autopropulsado 25 CV</t>
  </si>
  <si>
    <t xml:space="preserve">TALADRO </t>
  </si>
  <si>
    <t xml:space="preserve">CORTADORA Radial </t>
  </si>
  <si>
    <t>Cortadora de metales</t>
  </si>
  <si>
    <t xml:space="preserve">GENERADOR Polivalente 11 CV </t>
  </si>
  <si>
    <t>Obra civil</t>
  </si>
  <si>
    <t xml:space="preserve">MOTOSOLDADOR 15 CV </t>
  </si>
  <si>
    <t>Varios. Soldadura</t>
  </si>
  <si>
    <t xml:space="preserve">COMPRESOR MÓVIL 35 CV </t>
  </si>
  <si>
    <t>Obra civil, varios</t>
  </si>
  <si>
    <t xml:space="preserve">GRUPO Generador Soldadura 11 CV </t>
  </si>
  <si>
    <t xml:space="preserve">GRUPO Electrógeno 6,5 CV </t>
  </si>
  <si>
    <t>Generador</t>
  </si>
  <si>
    <t xml:space="preserve">BOMBA de MEMBRANA (Pintura) 2,5 CV </t>
  </si>
  <si>
    <t>Pintura a presión</t>
  </si>
  <si>
    <t xml:space="preserve">COMPRESOR de Pistón 2 CV 24 l </t>
  </si>
  <si>
    <t xml:space="preserve">BANDEJA COMPACTADORA </t>
  </si>
  <si>
    <t>REMOLQUE Portamáquinas</t>
  </si>
  <si>
    <t>Varios. Transporte maquinaria</t>
  </si>
  <si>
    <t>REMOLQUE 2 ejes Basculante</t>
  </si>
  <si>
    <t>RESUMEN COSTES VESTUARIO, EQUIPAMIENTOS, ÚTILES Y HERRAMIENTAS</t>
  </si>
  <si>
    <t>COSTES</t>
  </si>
  <si>
    <t xml:space="preserve">C.1 </t>
  </si>
  <si>
    <t>VESTUARIO Y EQUIPAMIENTOS</t>
  </si>
  <si>
    <t>Vestuario</t>
  </si>
  <si>
    <t>Equipos de protección individual y colectiva</t>
  </si>
  <si>
    <t>C.2</t>
  </si>
  <si>
    <t>ÚTILES Y HERRAMIENTAS</t>
  </si>
  <si>
    <t>TOTAL COSTES DE VESTUARIO, EQUIPAMIENTOS, ÚTILES Y HERRAMIENTAS</t>
  </si>
  <si>
    <t>COSTES DE VESTUARIO DEL PERSONAL</t>
  </si>
  <si>
    <t>Nº UDS</t>
  </si>
  <si>
    <t>COSTE UD</t>
  </si>
  <si>
    <t>VIDA ÚTIL AÑOS</t>
  </si>
  <si>
    <t>AMORTIZACIÓN /UD</t>
  </si>
  <si>
    <t>GASTOS FINACIEROS / UD</t>
  </si>
  <si>
    <t>TOTAL COSTES AÑO(€)</t>
  </si>
  <si>
    <t>TEMPORADA DE VERANO</t>
  </si>
  <si>
    <t>Camisa de manga corta</t>
  </si>
  <si>
    <t>Pantalón</t>
  </si>
  <si>
    <t>Nº ADMINISTRATIVOS</t>
  </si>
  <si>
    <t>Calzado apropiado</t>
  </si>
  <si>
    <t>Nº TÉCNICOS</t>
  </si>
  <si>
    <t>Chaquetilla</t>
  </si>
  <si>
    <t>TEMPORADA DE INVIERNO</t>
  </si>
  <si>
    <t>Camisa de manga larga</t>
  </si>
  <si>
    <t>Pantalón de invierno</t>
  </si>
  <si>
    <t>Forro polar</t>
  </si>
  <si>
    <t>Prenda de abrigo</t>
  </si>
  <si>
    <t xml:space="preserve">COSTES DE EQUIPOS DE PROTECCIÓN INDIVIDUAL Y COLECTIVA </t>
  </si>
  <si>
    <t>Nº de UDS por cada 10 operarios</t>
  </si>
  <si>
    <t>PODAS Y DESBROCES</t>
  </si>
  <si>
    <t>CASCO PROTECTOR REJILLA</t>
  </si>
  <si>
    <t>PROTECTOR FACIAL</t>
  </si>
  <si>
    <t>PANTALÓN ANTICORTE</t>
  </si>
  <si>
    <t>CHAQUETA ANTICORTE</t>
  </si>
  <si>
    <t>GUANTE ANTICORTE</t>
  </si>
  <si>
    <t>GAFA AMPLIVISION</t>
  </si>
  <si>
    <t>BOTAS SEG. ANTICORTE</t>
  </si>
  <si>
    <t>ARNÉS ANTICAIDA+COMPLEM.</t>
  </si>
  <si>
    <t>CINTURÓN SEGURIDAD+COMPLEM.</t>
  </si>
  <si>
    <t>PROTECTOR AUDITIVO</t>
  </si>
  <si>
    <t>TRATAMIENTOS</t>
  </si>
  <si>
    <t>MASCARILLA-FILTRO</t>
  </si>
  <si>
    <t>MONO/GUANTES DESECHABLES</t>
  </si>
  <si>
    <t>GUANTES NEOPRENO/PVC</t>
  </si>
  <si>
    <t>GENERALES</t>
  </si>
  <si>
    <t>RODILLERAS</t>
  </si>
  <si>
    <t>CHALECO ALTA VISIBILIDAD</t>
  </si>
  <si>
    <t>PIBOTE SEÑALIZACIÓN</t>
  </si>
  <si>
    <t>VALLA SEÑALIZACIÓN</t>
  </si>
  <si>
    <t>ALMACEN Y VESTUARIOS</t>
  </si>
  <si>
    <t>DEPÓSITO LUBRICANTES</t>
  </si>
  <si>
    <t>DEPÓSITO BATERIAS</t>
  </si>
  <si>
    <t>DEPÓSITO RES. PELIGROSOS</t>
  </si>
  <si>
    <t>MESA MELANIMA</t>
  </si>
  <si>
    <t>BANCO DE MADERA</t>
  </si>
  <si>
    <t>BOTIQUÍN</t>
  </si>
  <si>
    <t>RECAMBIO BOTIQUÍN</t>
  </si>
  <si>
    <t>EXTINTOR</t>
  </si>
  <si>
    <t xml:space="preserve"> - </t>
  </si>
  <si>
    <t>FORMACIÓN SEG Y SALUD</t>
  </si>
  <si>
    <t>RECONOCIMIENTO</t>
  </si>
  <si>
    <t>COSTES DE ÚTILES Y HERRAMIENTAS</t>
  </si>
  <si>
    <t>JARDINERÍA</t>
  </si>
  <si>
    <t>AZADÓN</t>
  </si>
  <si>
    <t>AZADA</t>
  </si>
  <si>
    <t>PALA CUADRADA</t>
  </si>
  <si>
    <t>PALA REDONDA</t>
  </si>
  <si>
    <t>PALA JARDINERA</t>
  </si>
  <si>
    <t>ESCOBA  METALICA</t>
  </si>
  <si>
    <t>RASTRILLO METALICO</t>
  </si>
  <si>
    <t>PICO</t>
  </si>
  <si>
    <t>HACHA PICO</t>
  </si>
  <si>
    <t>AZADAPICO</t>
  </si>
  <si>
    <t>HORCA</t>
  </si>
  <si>
    <t>AZADAHORQUILLO</t>
  </si>
  <si>
    <t>MINIAZADAHORQUILLA</t>
  </si>
  <si>
    <t>MANGO de REPUESTO</t>
  </si>
  <si>
    <t>PLANTADOR BULBOS</t>
  </si>
  <si>
    <t>TRASPLANTADOR</t>
  </si>
  <si>
    <t>ESCARDILLO</t>
  </si>
  <si>
    <t>HOZ</t>
  </si>
  <si>
    <t>GUADAÑA</t>
  </si>
  <si>
    <t>YUNQUE GUADAÑA</t>
  </si>
  <si>
    <t>SEMILLADORA LIGERA</t>
  </si>
  <si>
    <t>LIMPIEZA</t>
  </si>
  <si>
    <t>CEPILLO METÁLICO</t>
  </si>
  <si>
    <t>CEPILLO BARRENDERO</t>
  </si>
  <si>
    <t xml:space="preserve">PINZAS RECOGEDOR </t>
  </si>
  <si>
    <t>RECOGEDORES SIN TAPA</t>
  </si>
  <si>
    <t>PODA</t>
  </si>
  <si>
    <t>TIJERA HOJA LARGA 2 MANOS</t>
  </si>
  <si>
    <t>TIJERAS HOJA CORTA 2 MANOS</t>
  </si>
  <si>
    <t>TIJERAS DE PODAR 1 MANO</t>
  </si>
  <si>
    <t>SIERRA MANO</t>
  </si>
  <si>
    <t>SIERRA PÉRTIGA</t>
  </si>
  <si>
    <t>LIMA REDONDA MOTOSIERRA</t>
  </si>
  <si>
    <t>HACHA</t>
  </si>
  <si>
    <t>CUÑA DE RAJAR</t>
  </si>
  <si>
    <t>TAJAMATA</t>
  </si>
  <si>
    <t>TAJAMATA-GANCHO</t>
  </si>
  <si>
    <t>UTILLAJE COMÚN</t>
  </si>
  <si>
    <t>ESCALERA DOS TRAMOS</t>
  </si>
  <si>
    <t>ESCALERA TIJERA</t>
  </si>
  <si>
    <t>CARRETILLA METALICA</t>
  </si>
  <si>
    <t>CONTENEDOR 1.100 L</t>
  </si>
  <si>
    <t>CONTENEDOR 600 L</t>
  </si>
  <si>
    <t>GUANTES</t>
  </si>
  <si>
    <t>MANGUERA AGUA 25</t>
  </si>
  <si>
    <t>BOLSAS DE BASURA</t>
  </si>
  <si>
    <t>OTROS</t>
  </si>
  <si>
    <t>PLOMADA</t>
  </si>
  <si>
    <t>RAEDERA</t>
  </si>
  <si>
    <t>ALCOTANA</t>
  </si>
  <si>
    <t>ARCO SIERRA</t>
  </si>
  <si>
    <t>PALETA PUNTA ALBAÑIL</t>
  </si>
  <si>
    <t>PALETA CORTA ALBAÑIL</t>
  </si>
  <si>
    <t>PALETA ALBAÑIL</t>
  </si>
  <si>
    <t>PALETA</t>
  </si>
  <si>
    <t>PALETA CUADRADA ALBAÑIL</t>
  </si>
  <si>
    <t>ANDAMIO PROFESIONAL</t>
  </si>
  <si>
    <t>CAJA DE HERRAMIENTAS</t>
  </si>
  <si>
    <t>CAJA HERRAMIENTAS METALICA</t>
  </si>
  <si>
    <t>TALADRADOR-ATORNILLADOR</t>
  </si>
  <si>
    <t>DESTORNILLADOR</t>
  </si>
  <si>
    <t>DESTORNILLADOR ESTRELLA</t>
  </si>
  <si>
    <t>DESTORNILLADOR REVERSIBLE</t>
  </si>
  <si>
    <t>ALICATE</t>
  </si>
  <si>
    <t>ALICATES PUNTA</t>
  </si>
  <si>
    <t>LLAVE INGLESA 15 "</t>
  </si>
  <si>
    <t>TENAZA</t>
  </si>
  <si>
    <t>MARTILLO</t>
  </si>
  <si>
    <t>MARTILLO GOMA</t>
  </si>
  <si>
    <t>MAZA</t>
  </si>
  <si>
    <t>GRIFA</t>
  </si>
  <si>
    <t>LLANA</t>
  </si>
  <si>
    <t>LIMA REDONDA</t>
  </si>
  <si>
    <t>LIMA TRIANGULAR 8 "</t>
  </si>
  <si>
    <t>JUEGOS LLAVES FIJAS VASO</t>
  </si>
  <si>
    <t>JUEGO LLAVES MIXTAS FIJAS</t>
  </si>
  <si>
    <t>LLAVES FIJAS COMBINADAS</t>
  </si>
  <si>
    <t>JUEGO LLAVES FIJAS ACODADAS</t>
  </si>
  <si>
    <t>JUEGOS LLAVES ALLEN</t>
  </si>
  <si>
    <t>NIVEL BURBUJA</t>
  </si>
  <si>
    <t>ESPATULA MANGO PLASTICO</t>
  </si>
  <si>
    <t>ESCUADRA 0,60 cm</t>
  </si>
  <si>
    <t>CINTA METRICA</t>
  </si>
  <si>
    <t>BANCO TORNILLO</t>
  </si>
  <si>
    <t>FLEXOMETRO 5 mts</t>
  </si>
  <si>
    <t>TIRALINEAS</t>
  </si>
  <si>
    <t>RESUMEN COSTES DE LOCALES E INSTALACIONES</t>
  </si>
  <si>
    <t xml:space="preserve">D.1 </t>
  </si>
  <si>
    <t>COSTES FIJOS DE LOCALES E INSTALACIONES</t>
  </si>
  <si>
    <t>D.2</t>
  </si>
  <si>
    <t>COSTES VARIABLES DE LOCALES E INSTALACIONES</t>
  </si>
  <si>
    <t>TOTAL COSTES DE LOCALES E INSTALACIONES</t>
  </si>
  <si>
    <t>D.1 COSTES FIJOS DE LOCALES E INSTALACIONES</t>
  </si>
  <si>
    <t>SUPERFICIE (m2)</t>
  </si>
  <si>
    <t>PRECIO (€/m2)</t>
  </si>
  <si>
    <t>COSTE MENSUAL</t>
  </si>
  <si>
    <t>Nº MS/AÑO</t>
  </si>
  <si>
    <t>Alquiler nave principal</t>
  </si>
  <si>
    <t>Alquiler oficina técnica</t>
  </si>
  <si>
    <t>Alquiler nave adicional</t>
  </si>
  <si>
    <t>D.2 COSTES VARIABLES DE LOCALES E INSTALACIONES</t>
  </si>
  <si>
    <t>Obras acondicionamiento nave principal</t>
  </si>
  <si>
    <t>Obra acondicionamiento oficina técnica</t>
  </si>
  <si>
    <t>Obra acondicionamiento nave adicional</t>
  </si>
  <si>
    <t>Costes manutención y explotación</t>
  </si>
  <si>
    <t>Tasas, impuestos</t>
  </si>
  <si>
    <t>RESUMEN COSTES DE MATERIALES DE CONSERVACIÓN</t>
  </si>
  <si>
    <t>E.1</t>
  </si>
  <si>
    <t>COSTE MATERIALES Y MATERIAS PRIMAS</t>
  </si>
  <si>
    <t>E.2</t>
  </si>
  <si>
    <t>COSTES TRATAMIENTOS FITOSANITARIOS</t>
  </si>
  <si>
    <t>TOTAL COSTES DE MATERIALES</t>
  </si>
  <si>
    <t>COSTES DE MATERIALES Y MATERIAS PRIMAS</t>
  </si>
  <si>
    <t>MATERIAL</t>
  </si>
  <si>
    <t>TIPO</t>
  </si>
  <si>
    <t xml:space="preserve">MEDICIÓN INVENTARIO </t>
  </si>
  <si>
    <t>DOSIS O UNIDADES DE MATERIAL</t>
  </si>
  <si>
    <t>UNIDADES</t>
  </si>
  <si>
    <t>FRECUENCIA  ANUAL</t>
  </si>
  <si>
    <t>TOTAL PRODUCTO</t>
  </si>
  <si>
    <t>COSTE UNITARIO</t>
  </si>
  <si>
    <t>TOTAL COSTE AÑO</t>
  </si>
  <si>
    <t>OBSERVACIONES</t>
  </si>
  <si>
    <t>ARENAS, ÁRIDOS, TIERRAS Y ABONOS</t>
  </si>
  <si>
    <t>(HA)</t>
  </si>
  <si>
    <t>ABONO QUIMICO 15-15-15</t>
  </si>
  <si>
    <t>GRANULADO</t>
  </si>
  <si>
    <t>kg/ha</t>
  </si>
  <si>
    <t>TODA LA SUPERFICIE CÉSPED</t>
  </si>
  <si>
    <t>ABONO ORGÁNICO FERMENTADO</t>
  </si>
  <si>
    <t>PELLET</t>
  </si>
  <si>
    <t>Kg/ha</t>
  </si>
  <si>
    <t>TODA LA SUPERFICIE CÉSPED+MACIZOS+ALCORQUES</t>
  </si>
  <si>
    <t>ESTIERCOL FERMENTADO GRANEL</t>
  </si>
  <si>
    <t>MANTILLO</t>
  </si>
  <si>
    <t>m3/ha</t>
  </si>
  <si>
    <t>RECEBO SÓLO DE  INVIERNO 25%TOTAL SUPERFICIE</t>
  </si>
  <si>
    <t>ARENA DE RIO</t>
  </si>
  <si>
    <t>GRANEL</t>
  </si>
  <si>
    <t>SUSTITUCIÓN ARENEROS ÁREAS INFANTILES</t>
  </si>
  <si>
    <t>ÁRIDOS</t>
  </si>
  <si>
    <t>TERRIZOS, PARTERRES</t>
  </si>
  <si>
    <t>PLANTAS</t>
  </si>
  <si>
    <t xml:space="preserve"> (HA - UDS)</t>
  </si>
  <si>
    <t>SEMILLA DE CÉSPED MEZCLA 50-30-20</t>
  </si>
  <si>
    <t>VARIOS</t>
  </si>
  <si>
    <t xml:space="preserve">RESIEMBRA del 25% anual. </t>
  </si>
  <si>
    <t>REPOSICIÓN FLOR DE TEMPORADA</t>
  </si>
  <si>
    <t>ud/m2</t>
  </si>
  <si>
    <t>TODOS LOS CAMBIOS ANUALES (14ud/m2)</t>
  </si>
  <si>
    <t>RIEGOS</t>
  </si>
  <si>
    <t>MATERIAL DE REPOSICIÓN (valvulería, tubería, aparataje...)</t>
  </si>
  <si>
    <t>pa/ha</t>
  </si>
  <si>
    <t>REPARACIONES</t>
  </si>
  <si>
    <t>Act/año</t>
  </si>
  <si>
    <t>PRODUCTOS ANTIGRAFFITI, REPINTADO, REPARACIONES</t>
  </si>
  <si>
    <t>CERTIFICACIÓN ÁREA JUEGOS INFANTILES</t>
  </si>
  <si>
    <t>PRODUCTOS ANTIGRAFFITI, MNTO PREVENTIVO/CORRECTIVO/CERTIFICACIÓN</t>
  </si>
  <si>
    <t xml:space="preserve">DESINFECCIÓN/RECEBO ÁREA JUEGOS INFANTILES </t>
  </si>
  <si>
    <t>ELIMINACIÓN GRAFFITI, REPINTADO, REPARACIONES</t>
  </si>
  <si>
    <t>RECEBO CAMINOS</t>
  </si>
  <si>
    <t>MANTENIMIENTO FUENTES</t>
  </si>
  <si>
    <t>DESINFECCIÓN/CONTROL LEGIONELLA</t>
  </si>
  <si>
    <t>MEDIOS AUXILIARES: GESTIÓN INTEGRAL DE PLAGAS</t>
  </si>
  <si>
    <t xml:space="preserve">MEDICIÓN </t>
  </si>
  <si>
    <t>HERBICIDAS</t>
  </si>
  <si>
    <t>M2</t>
  </si>
  <si>
    <t>ÁCIDO ACÉTICO</t>
  </si>
  <si>
    <t>l</t>
  </si>
  <si>
    <t xml:space="preserve">INSECTICIDAS </t>
  </si>
  <si>
    <t>EJEMPLAR</t>
  </si>
  <si>
    <t>ENDOTERAPIA (4DOSIS/EJEMPLAR)</t>
  </si>
  <si>
    <t>JABÓN POTASICO</t>
  </si>
  <si>
    <t>FUNGICIDAS</t>
  </si>
  <si>
    <t>TRATAMIENTO BIOLÓGICO TRICHODERMA</t>
  </si>
  <si>
    <t>MEDIDAS CONTROL BIOLÓGICO</t>
  </si>
  <si>
    <t>TRAMPA FEROMONAS POLILLAS</t>
  </si>
  <si>
    <t>ud</t>
  </si>
  <si>
    <t>TRAMPA FEROMONAS COLEOPTEROS</t>
  </si>
  <si>
    <t>MEDIDAS CULTURALES</t>
  </si>
  <si>
    <t>POTENCIADOR BIOLÓGICO FOLIAR</t>
  </si>
  <si>
    <t>POTENCIADOR BIOLÓGICO RADICULAR</t>
  </si>
  <si>
    <t>ENMIENDAS MINERALES</t>
  </si>
  <si>
    <t>Kg</t>
  </si>
  <si>
    <t xml:space="preserve">RESUMEN OTROS COSTES </t>
  </si>
  <si>
    <t>F.1</t>
  </si>
  <si>
    <t>COSTES DE EQUIPOS TECNÓLOGICOS Y LICENCIAS SOFTWARE</t>
  </si>
  <si>
    <t>F.2</t>
  </si>
  <si>
    <t>INVENTARIO (Media anual)</t>
  </si>
  <si>
    <t>F.3</t>
  </si>
  <si>
    <t>SERVICIOS PROFESIONALES</t>
  </si>
  <si>
    <t>F.4</t>
  </si>
  <si>
    <t>OTROS COSTES</t>
  </si>
  <si>
    <t>COSTES DE EQUIPOS TÉCNOLOGICOS Y LICENCIAS INFORMÁTICAS</t>
  </si>
  <si>
    <t>DISPOSITIVO  GPS</t>
  </si>
  <si>
    <t>Renting equipos GPS instalados bajo salpicadero+ Software (1ud/vehículo)</t>
  </si>
  <si>
    <t>TELEFONÍA MÓVIL</t>
  </si>
  <si>
    <t>DISPOSITIVO SMARTPHONE</t>
  </si>
  <si>
    <t>DISPOSITIVO TABLET</t>
  </si>
  <si>
    <t>TARJETA DATOS</t>
  </si>
  <si>
    <t>ORDENADORES Y PERIFÉRICOS</t>
  </si>
  <si>
    <t>Nº VEHÍCULOS</t>
  </si>
  <si>
    <t>DISPOSITIVO</t>
  </si>
  <si>
    <t>Nº OFICINAS TÉCNICAS</t>
  </si>
  <si>
    <t>ACCESO RED</t>
  </si>
  <si>
    <t>APLICACIONES INFORMÁTICAS</t>
  </si>
  <si>
    <t>PAQUETE MICROSOFT OFFICE</t>
  </si>
  <si>
    <t>SKETCHUP</t>
  </si>
  <si>
    <t>PRESTO</t>
  </si>
  <si>
    <t>AUTOCAD</t>
  </si>
  <si>
    <t>SOFTWARE GESTIÓN INFRAESTRUCTURA VERDE</t>
  </si>
  <si>
    <t>COSTES DE INVENTARIO</t>
  </si>
  <si>
    <t>UNIDAD</t>
  </si>
  <si>
    <t>ARBOLADO</t>
  </si>
  <si>
    <t>Inventario de posiciones arboladas - Revisión</t>
  </si>
  <si>
    <t>UD</t>
  </si>
  <si>
    <t>Inventario de posiciones arboladas - Alta</t>
  </si>
  <si>
    <t>ZONAS VERDES</t>
  </si>
  <si>
    <t>Inventario informatizado espacios verdes - Revisión</t>
  </si>
  <si>
    <t>ha</t>
  </si>
  <si>
    <t>Inventario informatizado espacios verdes - Alta</t>
  </si>
  <si>
    <t>ZONA FORESTAL</t>
  </si>
  <si>
    <t>Inventario informatizado zona forestal - Revisión</t>
  </si>
  <si>
    <t>Inventario informatizado zona forestal - Alta</t>
  </si>
  <si>
    <t>MOBILIARIO EN ZONA VERDE</t>
  </si>
  <si>
    <t>Inventario informatizado mobiliario zona verde - Revisión</t>
  </si>
  <si>
    <t>Inventario informatizado mobiliario zona verde - Alta</t>
  </si>
  <si>
    <t>MOBILIARIO EN SUELO URBANO</t>
  </si>
  <si>
    <t>Inventario informatizado mobiliario suelo urbano - Revisión</t>
  </si>
  <si>
    <t>Inventario informatizado mobiliario suelo urbano - Alta</t>
  </si>
  <si>
    <t>ÁREA DE JUEGO INFANTIL</t>
  </si>
  <si>
    <t>COSTES DE SERVICIOS PROFESIONALES</t>
  </si>
  <si>
    <t>FOMENTO BIODIVERSIDAD</t>
  </si>
  <si>
    <t>REDACCIÓN PLAN</t>
  </si>
  <si>
    <t>* Trabajo de campo</t>
  </si>
  <si>
    <t xml:space="preserve">     Técnico Licenciado</t>
  </si>
  <si>
    <t>€/h</t>
  </si>
  <si>
    <t xml:space="preserve">     Técnico Diplomado</t>
  </si>
  <si>
    <t xml:space="preserve">     Técnico no titulado</t>
  </si>
  <si>
    <t xml:space="preserve">     Delineante</t>
  </si>
  <si>
    <t xml:space="preserve">     Operario</t>
  </si>
  <si>
    <t xml:space="preserve">     Consultor / Especialista</t>
  </si>
  <si>
    <t>* Trabajo de gabinete</t>
  </si>
  <si>
    <t>* Medios Auxiliares</t>
  </si>
  <si>
    <t xml:space="preserve">ACCIONES </t>
  </si>
  <si>
    <t>* Acción 1: Inventario Aves</t>
  </si>
  <si>
    <t>* Acción 2: Biodiversidad en alcorques</t>
  </si>
  <si>
    <t>* Acción 3: Control de fauna exótica</t>
  </si>
  <si>
    <t>* Acción 4: …</t>
  </si>
  <si>
    <t>PLAN DIRECTOR / PLAN ESTRATÉGICO</t>
  </si>
  <si>
    <t xml:space="preserve">    Consultor / Especialista</t>
  </si>
  <si>
    <t>* Acción 1: Estudio de Adecuación arbolada al cambio climático</t>
  </si>
  <si>
    <t>* Acción 2: Techos y muros verdes</t>
  </si>
  <si>
    <t>* Acción 3: …</t>
  </si>
  <si>
    <t>PLAN DE GESTIÓN DEL RIESGO</t>
  </si>
  <si>
    <t>* Acción 1: Plan de inspección de riesgo</t>
  </si>
  <si>
    <t>* Acción 2: Informes de riesgo + testificación instrumental</t>
  </si>
  <si>
    <t>PLAN DE COMUNICACIÓN Y PARTICIPACIÓN CIUDADANA</t>
  </si>
  <si>
    <t>* Acción 1: Activación cuenta Instagram / Facebook Infraestrucutura verde</t>
  </si>
  <si>
    <t>* Acción 2: Mesa del Árbol</t>
  </si>
  <si>
    <t>PLAN DE EDUCACIÓN AMBIENTAL</t>
  </si>
  <si>
    <t>* Acción 3: Talleres por estaciones</t>
  </si>
  <si>
    <t>OTROS SERVICIOS PROFESIONALES</t>
  </si>
  <si>
    <t xml:space="preserve">COSTE IMPLANTACIÓN CERTIFICADOS </t>
  </si>
  <si>
    <t>COSTE SEGURO RESPONSABILIDAD CIVIL</t>
  </si>
  <si>
    <t>Importe de póliza anual</t>
  </si>
  <si>
    <t>Canon vertidos</t>
  </si>
  <si>
    <t>Equipos apoyo Jardinería/Limpieza (Fiestas municipio, cabalgatas, etc.)</t>
  </si>
  <si>
    <t>TOTAL COSTES FIJOS /UD</t>
  </si>
  <si>
    <t>TOTAL COSTES FIJOS</t>
  </si>
  <si>
    <t>H=(E+F+G)*A</t>
  </si>
  <si>
    <t>COSTE UNITARIO JORNADA (€/jornada)</t>
  </si>
  <si>
    <t>COSTE UNITARIO ANUAL (€/año)</t>
  </si>
  <si>
    <t>TOTAL COSTES MNTO. (€/año)</t>
  </si>
  <si>
    <t>Nº DÍAS DE USO</t>
  </si>
  <si>
    <t xml:space="preserve"> PLUS ANTIGÜEDAD UNITARIA</t>
  </si>
  <si>
    <t>TOTAL SALARIO ANUAL UNITARIO (1PAX 100% JORNADA)</t>
  </si>
  <si>
    <t>PRECIO COSTE EMPRESA</t>
  </si>
  <si>
    <t>TOTAL SALARIO ANUAL FINAL</t>
  </si>
  <si>
    <t>TIPO DE CONTRATO</t>
  </si>
  <si>
    <t>CÁLCULO DEL PERIODO DE AMORTIZACIÓN - DURACIÓN DEL CONTRATO</t>
  </si>
  <si>
    <t>FÓRMULA PARA EL CÁLCULO DE DEFINICIÓN DEL PERIODO DE RECUPERACIÓN DE LA INVERSIÓN:</t>
  </si>
  <si>
    <r>
      <rPr>
        <b/>
        <sz val="9"/>
        <color indexed="62"/>
        <rFont val="Arial"/>
        <family val="2"/>
      </rPr>
      <t>n</t>
    </r>
    <r>
      <rPr>
        <sz val="9"/>
        <rFont val="Arial"/>
        <family val="2"/>
      </rPr>
      <t>: valor mínimo para el que se cumple la desigualdad</t>
    </r>
  </si>
  <si>
    <r>
      <rPr>
        <b/>
        <sz val="9"/>
        <color indexed="62"/>
        <rFont val="Arial"/>
        <family val="2"/>
      </rPr>
      <t>FCt</t>
    </r>
    <r>
      <rPr>
        <sz val="9"/>
        <rFont val="Arial"/>
        <family val="2"/>
      </rPr>
      <t>: flujo de caja esperado en el año t (diferencia entre cobros y pagos)</t>
    </r>
  </si>
  <si>
    <r>
      <rPr>
        <b/>
        <sz val="9"/>
        <color indexed="62"/>
        <rFont val="Arial"/>
        <family val="2"/>
      </rPr>
      <t>b</t>
    </r>
    <r>
      <rPr>
        <sz val="9"/>
        <rFont val="Arial"/>
        <family val="2"/>
      </rPr>
      <t>: tasa de descuento, cuyo valor será el rendimiento medio en el mercado secundario de
la deuda del Estado a diez años en los últimos seis meses incrementado en un diferencial de
200 puntos básicos. Se tomará como referencia para el cálculo de dicho rendimiento medio los últimos datos disponibles publicados por el Banco de España en el Boletín del Mercado de Deuda Pública.</t>
    </r>
  </si>
  <si>
    <t>b=</t>
  </si>
  <si>
    <t>n=</t>
  </si>
  <si>
    <r>
      <t>FCt</t>
    </r>
    <r>
      <rPr>
        <sz val="5"/>
        <rFont val="Arial"/>
        <family val="2"/>
      </rPr>
      <t>1</t>
    </r>
  </si>
  <si>
    <r>
      <t>FCt</t>
    </r>
    <r>
      <rPr>
        <sz val="5"/>
        <rFont val="Arial"/>
        <family val="2"/>
      </rPr>
      <t>2</t>
    </r>
  </si>
  <si>
    <r>
      <t>FCt</t>
    </r>
    <r>
      <rPr>
        <sz val="5"/>
        <rFont val="Arial"/>
        <family val="2"/>
      </rPr>
      <t>3</t>
    </r>
  </si>
  <si>
    <r>
      <t>FCt</t>
    </r>
    <r>
      <rPr>
        <sz val="5"/>
        <rFont val="Arial"/>
        <family val="2"/>
      </rPr>
      <t>4</t>
    </r>
  </si>
  <si>
    <r>
      <t>FCt</t>
    </r>
    <r>
      <rPr>
        <sz val="5"/>
        <rFont val="Arial"/>
        <family val="2"/>
      </rPr>
      <t>5</t>
    </r>
  </si>
  <si>
    <r>
      <t>FCt</t>
    </r>
    <r>
      <rPr>
        <sz val="5"/>
        <rFont val="Arial"/>
        <family val="2"/>
      </rPr>
      <t>6</t>
    </r>
  </si>
  <si>
    <r>
      <t>FCt</t>
    </r>
    <r>
      <rPr>
        <sz val="5"/>
        <rFont val="Arial"/>
        <family val="2"/>
      </rPr>
      <t>7</t>
    </r>
  </si>
  <si>
    <r>
      <t>FCt</t>
    </r>
    <r>
      <rPr>
        <sz val="5"/>
        <rFont val="Arial"/>
        <family val="2"/>
      </rPr>
      <t>8</t>
    </r>
  </si>
  <si>
    <r>
      <t>FCt</t>
    </r>
    <r>
      <rPr>
        <sz val="5"/>
        <rFont val="Arial"/>
        <family val="2"/>
      </rPr>
      <t>9</t>
    </r>
  </si>
  <si>
    <r>
      <t>FCt</t>
    </r>
    <r>
      <rPr>
        <sz val="5"/>
        <rFont val="Arial"/>
        <family val="2"/>
      </rPr>
      <t>10</t>
    </r>
  </si>
  <si>
    <r>
      <t>FCt</t>
    </r>
    <r>
      <rPr>
        <sz val="5"/>
        <rFont val="Arial"/>
        <family val="2"/>
      </rPr>
      <t>11</t>
    </r>
  </si>
  <si>
    <r>
      <t>FCt</t>
    </r>
    <r>
      <rPr>
        <sz val="5"/>
        <rFont val="Arial"/>
        <family val="2"/>
      </rPr>
      <t>12</t>
    </r>
  </si>
  <si>
    <r>
      <t>FCt</t>
    </r>
    <r>
      <rPr>
        <sz val="5"/>
        <rFont val="Arial"/>
        <family val="2"/>
      </rPr>
      <t>13</t>
    </r>
  </si>
  <si>
    <r>
      <t>FCt</t>
    </r>
    <r>
      <rPr>
        <sz val="5"/>
        <rFont val="Arial"/>
        <family val="2"/>
      </rPr>
      <t>14</t>
    </r>
  </si>
  <si>
    <r>
      <t>FCt</t>
    </r>
    <r>
      <rPr>
        <sz val="5"/>
        <rFont val="Arial"/>
        <family val="2"/>
      </rPr>
      <t>15</t>
    </r>
  </si>
  <si>
    <t>=</t>
  </si>
  <si>
    <t>Valor fórmula</t>
  </si>
  <si>
    <t>CÁLCULO DE LA TASA DE DESCUENTO</t>
  </si>
  <si>
    <t>Rentabilidad de obligaciones a 10 años (Boletín Mercado de Deuda Pública)</t>
  </si>
  <si>
    <t>MES</t>
  </si>
  <si>
    <t>MEDIA</t>
  </si>
  <si>
    <t>Tasa de descuento</t>
  </si>
  <si>
    <t>ESTUDIO BALANCE INGRESOS Y GASTOS</t>
  </si>
  <si>
    <t>COSTE INVERSIÓN VEHÍCULOS NUEVA INCORPORACIÓN</t>
  </si>
  <si>
    <t>COSTE INVERSIÓN VEHÍCULOS PARCIALMENTE AMORTIZADOS</t>
  </si>
  <si>
    <t>AÑO 0</t>
  </si>
  <si>
    <t>AÑO 2</t>
  </si>
  <si>
    <t>AÑO 3</t>
  </si>
  <si>
    <t>AÑO 4</t>
  </si>
  <si>
    <t>AÑO 5</t>
  </si>
  <si>
    <t>AÑO 6</t>
  </si>
  <si>
    <t>AÑO 7</t>
  </si>
  <si>
    <t>AÑO 8</t>
  </si>
  <si>
    <t>AÑO 9</t>
  </si>
  <si>
    <t>AÑO 10</t>
  </si>
  <si>
    <t>AÑO 11</t>
  </si>
  <si>
    <t>AÑO 12</t>
  </si>
  <si>
    <t>AÑO 13</t>
  </si>
  <si>
    <t>AÑO 14</t>
  </si>
  <si>
    <t>AÑO 15</t>
  </si>
  <si>
    <t>GASTOS</t>
  </si>
  <si>
    <t>GASTOS INVERSIÓN</t>
  </si>
  <si>
    <t>GASTOS SERVICIO</t>
  </si>
  <si>
    <t>TOTAL GASTOS</t>
  </si>
  <si>
    <t>EJECUCIÓN MATERIAL</t>
  </si>
  <si>
    <t>EJECUCIÓN POR CONTRATA</t>
  </si>
  <si>
    <t>FLUJO DE CAJA</t>
  </si>
  <si>
    <t>VARIACIÓN ANUAL</t>
  </si>
  <si>
    <t>TOTAL  INVERSIÓN</t>
  </si>
  <si>
    <t>(A) DE LA ACTIVIDAD DE EXPLOTACIÓN</t>
  </si>
  <si>
    <t>(B) DE LA ACTIVIDAD CON INVERSIÓN</t>
  </si>
  <si>
    <t>TOTAL (AÑO 1)</t>
  </si>
  <si>
    <t>% (Año 1)</t>
  </si>
  <si>
    <t xml:space="preserve">TOTAL CANON ANUAL CON IVA </t>
  </si>
  <si>
    <t xml:space="preserve">TOTAL COSTES EJECUCIÓN MATERIAL DEL SERVICIO </t>
  </si>
  <si>
    <t>Valor residual del vehículo según la calculadora del Ministerio de Hacienda</t>
  </si>
  <si>
    <t xml:space="preserve">IMPORTE TOTAL DE INVERSIONES: </t>
  </si>
  <si>
    <t xml:space="preserve">% SOBRE EL IMPORTE DEL CONTRATO: </t>
  </si>
  <si>
    <t>DETERMINACIÓN INVERSIÓN SIGNIFICATIVA ( &gt; 1%)</t>
  </si>
  <si>
    <t>COSTES EJECUCIÓN MATERIAL (AÑO 1)</t>
  </si>
  <si>
    <t>% (S/EM)</t>
  </si>
  <si>
    <r>
      <t>Nota</t>
    </r>
    <r>
      <rPr>
        <sz val="11"/>
        <rFont val="Calibri"/>
        <family val="2"/>
      </rPr>
      <t xml:space="preserve">: </t>
    </r>
    <r>
      <rPr>
        <i/>
        <sz val="11"/>
        <rFont val="Calibri"/>
        <family val="2"/>
      </rPr>
      <t>Para el cálculo de las amortizaciones se recomienda utilizar las tablas de amortización que están recogidas en el Anexo I del Real Decreto 1777/2004, de 30 de julio, por el que se aprueba el Reglamento del Impuesto sobre Sociedades:</t>
    </r>
  </si>
  <si>
    <t>BOE-A-2004-14600 Real Decreto 1777/2004, de 30 de julio, por el que se aprueba el Reglamento del Impuesto sobre Sociedades.</t>
  </si>
  <si>
    <t xml:space="preserve">En los territorios forales existen normas específicas, parecidas pero no idénticas, por lo que es necesario precisar que la Comunidad Foral Navarra tiene sus propios coeficientes en La Ley Foral 26/2016: Lexnavarra, y en el País Vasco, cada Territorio Foral tiene también sus propios coeficientes de amortización. </t>
  </si>
  <si>
    <t xml:space="preserve">COSTES MANTENIMIENTO </t>
  </si>
  <si>
    <t xml:space="preserve">CONCEPTOS </t>
  </si>
  <si>
    <t>COSTES AMORTIZACIÓN Y FINANCIACIÓN ANUAL</t>
  </si>
  <si>
    <t>COSTES CONSERVACIÓN, MANTENIMIENTO Y REPARACIONES</t>
  </si>
  <si>
    <t>COSTE COMBUSTIBLES Y LUBRICANTES</t>
  </si>
  <si>
    <t xml:space="preserve">TOTAL COSTES FIJOS </t>
  </si>
  <si>
    <t xml:space="preserve">TOTAL AMORTIZACIÓN + GASTO FINANCIERO </t>
  </si>
  <si>
    <t>COSTE AMORTIZACION + FINANCIACIÓN ANUAL</t>
  </si>
  <si>
    <t>COSTE UNITARIO JORNADA COMBUSTIBLE Y LUBRICANTE</t>
  </si>
  <si>
    <t>COSTE TOTAL LUBRICANTE Y CONSUMIBLES</t>
  </si>
  <si>
    <t>COSTE SEGUROS Y TASAS</t>
  </si>
  <si>
    <t>COSTES SEGUROS Y TASAS</t>
  </si>
  <si>
    <t>COSTES SEGUROS  Y TASAS</t>
  </si>
  <si>
    <t>COSTES REPARACIONES Y MANTENIMIENTO</t>
  </si>
  <si>
    <t>COSTE MANTENIMIENTO</t>
  </si>
  <si>
    <t>ESTRUCTURA DE COSTES</t>
  </si>
  <si>
    <t>% de la mano de obra sobre el total del coste de ejecución material del servicio</t>
  </si>
  <si>
    <t>% de los combustibles y lubricantes sobre el total del coste de ejecución material del servicio</t>
  </si>
  <si>
    <t>% del mantenimiento y reparaciones sobre el total del coste de ejecución material del servicio</t>
  </si>
  <si>
    <t>Otros costes del servicio</t>
  </si>
  <si>
    <t xml:space="preserve">% </t>
  </si>
  <si>
    <t>a</t>
  </si>
  <si>
    <t>b</t>
  </si>
  <si>
    <t>c</t>
  </si>
  <si>
    <t>d</t>
  </si>
  <si>
    <t>ESTRUCTURA DE COSTES - CÁLCULO ACTUALIZACIÓN DE PRECIOS</t>
  </si>
  <si>
    <t>CÁLCULO TOTAL DE INVERSIONES</t>
  </si>
  <si>
    <t>Vehículos nueva incorporación</t>
  </si>
  <si>
    <t>IMPORTE ESTIMADO</t>
  </si>
  <si>
    <t>Maquinaria al inicio del contrato</t>
  </si>
  <si>
    <t>PERIODO AMORT.</t>
  </si>
  <si>
    <t>TOTAL EJECUCIÓN MATERIAL (GASTOS)</t>
  </si>
  <si>
    <t>(1+b)</t>
  </si>
  <si>
    <t>https://www.bde.es/webbe/es/estadisticas/otras-clasificaciones/publicaciones/sintesis-indicadores/capitulo-1.html</t>
  </si>
  <si>
    <t>Descargar en pdf  - 1.2 Indicadores financieros</t>
  </si>
  <si>
    <t>Tomar como valor de referencia: Rentabilidad obligaciones a 10 años</t>
  </si>
  <si>
    <t xml:space="preserve">Nº de años mínimo de contrato de servicios con inversión: </t>
  </si>
  <si>
    <t>CABINA DOBLE</t>
  </si>
  <si>
    <t>TOTAL VALOR ESTIMADO (SIN IVA)</t>
  </si>
  <si>
    <t>Otras (Hardware, etc.)</t>
  </si>
  <si>
    <t>INGRESOS - PRESTACIÓN SERVICIOS</t>
  </si>
  <si>
    <t>COSTES AMORTIZACIÓN ANUAL</t>
  </si>
  <si>
    <t>COSTES FINANCIACIÓN ANUAL</t>
  </si>
  <si>
    <t>AMORTIZACION ANUAL TOTAL</t>
  </si>
  <si>
    <t>GASTOS FIANCIEROS TOTAL ANUAL</t>
  </si>
  <si>
    <t>COSTE AMORTIZACION ANUAL</t>
  </si>
  <si>
    <t>COSTE FINANCIACIÓN ANUAL</t>
  </si>
  <si>
    <t>TOTAL AMORTIZACIÓN ANUAL</t>
  </si>
  <si>
    <t>TOTAL GASTO FINANCIERO ANUAL</t>
  </si>
  <si>
    <t>B. TOTAL COSTES MANTENIMIENTO DE VEHÍCULOS Y MAQUINARIA</t>
  </si>
  <si>
    <t>GASTO ANUAL AMORTIZACION</t>
  </si>
  <si>
    <t>GASTO ANUAL FINANCIACIÓN</t>
  </si>
  <si>
    <t>COSTE ANUAL /UD</t>
  </si>
  <si>
    <t>C.1</t>
  </si>
  <si>
    <t>TOTAL COSTES VESTUARIO, EQUIPAMIENTOS, ETC.</t>
  </si>
  <si>
    <t>FINANCIERO ANUAL TOTAL</t>
  </si>
  <si>
    <t>FINANCIACIÓN ANUAL TOTAL</t>
  </si>
  <si>
    <t>COSTES  ANUALES</t>
  </si>
  <si>
    <t>C. TOTAL COSTES  MANTENIMIENTO VESTUARIO, EQUIPAMIENTOS, ÚTILES Y HERRAMIENTAS</t>
  </si>
  <si>
    <t>TABLAS SALARIALES AÑO 1 (2024)</t>
  </si>
  <si>
    <t xml:space="preserve">COSTES FIJOS ANUALES </t>
  </si>
  <si>
    <t>TASA DESCUENTO (b)</t>
  </si>
  <si>
    <t>COSTE INVERSIÓN MAQUINARIA (4 AÑOS)</t>
  </si>
  <si>
    <t>COSTE AMORTIZACIÓN ANUAL OTROS COSTES</t>
  </si>
  <si>
    <t>* Acción 1: Activación Redes Sociales</t>
  </si>
  <si>
    <t>Coeficiente de ajuste año 9</t>
  </si>
  <si>
    <t>Coeficiente de ajuste año 10</t>
  </si>
  <si>
    <t>Trabajos Medición/suministro año 9</t>
  </si>
  <si>
    <t>Trabajos Medición/suministro año 10</t>
  </si>
  <si>
    <t>COSTE INVERSIÓN TOTAL VEHÍCULOS</t>
  </si>
  <si>
    <t>Maquinaria cada 5 años</t>
  </si>
  <si>
    <r>
      <t xml:space="preserve">MANTENIMIENTO BANCOS (PINTADO/BARNIZADO) </t>
    </r>
    <r>
      <rPr>
        <sz val="11"/>
        <rFont val="Calibri"/>
        <family val="2"/>
      </rPr>
      <t>BIANUAL</t>
    </r>
  </si>
  <si>
    <r>
      <t xml:space="preserve">MANTENIMIENTO PAPELERAS (PINTADO/BARNIZADO) </t>
    </r>
    <r>
      <rPr>
        <sz val="11"/>
        <rFont val="Calibri"/>
        <family val="2"/>
      </rPr>
      <t>BIANUAL</t>
    </r>
  </si>
  <si>
    <t>COSTE INVERSIÓN TOTAL MAQUINARIA</t>
  </si>
  <si>
    <t>TOTAL DE FLUJO DE CAJA ANUAL (A+B=Fct)</t>
  </si>
  <si>
    <t>PERIODO DE RECUPERACIÓN DE LA INVERSIÓN</t>
  </si>
  <si>
    <t>Cálculo anual (Fct/((1+b)^t))</t>
  </si>
  <si>
    <t>Años (t)</t>
  </si>
  <si>
    <r>
      <t>FCt</t>
    </r>
    <r>
      <rPr>
        <sz val="5"/>
        <rFont val="Arial"/>
        <family val="2"/>
      </rPr>
      <t>0</t>
    </r>
  </si>
  <si>
    <t xml:space="preserve">GASTOS GENERALES Y BENEFICIO </t>
  </si>
  <si>
    <t xml:space="preserve">Beneficio </t>
  </si>
  <si>
    <t>Canon Anual año 9 (actualizado con costes salariales convenio, GG+B, sin IVA)</t>
  </si>
  <si>
    <t>Canon Anual año 10 (actualizado con costes salariales convenio, GG+B, sin IVA)</t>
  </si>
  <si>
    <t>SOFTWARE DE TELEGESTIÓN DE RIEGO</t>
  </si>
  <si>
    <t>Inventario informatizado Área de Juego Infantil - Revisión</t>
  </si>
  <si>
    <t>Inventario informatizado Área de Juego Infantil - Alta</t>
  </si>
  <si>
    <t>LICENCIA TARJETA GPRS COMUNICACIÓN TELEGESTIÓN</t>
  </si>
  <si>
    <t>LICENCIA Y TARJETA CONTROL PRESENCIAL</t>
  </si>
  <si>
    <t>SOFTWARE DE GESTIÓN DE PRESENCIA DEL PERSONAL</t>
  </si>
  <si>
    <t>Coste Auxiliar jardinero 1 año (Cálculo vacaciones)</t>
  </si>
  <si>
    <t>TOTAL COSTE SEGUROS Y TASAS</t>
  </si>
  <si>
    <t>GNC</t>
  </si>
  <si>
    <t>PORTA CONTENEDORES+CISTERNA 10000L</t>
  </si>
  <si>
    <t>CAJA CERRADA 3 Plazas 9m3</t>
  </si>
  <si>
    <t>E-TECH 45kWh</t>
  </si>
  <si>
    <t>1200 Kg</t>
  </si>
  <si>
    <t>CAJA CERRADA 3 Plazas COMPACTADOR 4,6m3</t>
  </si>
  <si>
    <t>E-TECH 28,8kWh</t>
  </si>
  <si>
    <t>Transporte Residuos</t>
  </si>
  <si>
    <t>CAJA ABIERTA Cabina SIMPLE BASCULANTE</t>
  </si>
  <si>
    <t>E-TECH 38,6kWh</t>
  </si>
  <si>
    <t>E-TECH 22kWh</t>
  </si>
  <si>
    <t>E-TECH 6,5kWh</t>
  </si>
  <si>
    <t>E-TECH 30kWh</t>
  </si>
  <si>
    <t>E-TECH 80kWh</t>
  </si>
  <si>
    <t>MULTIUSOS CAJA ABIERTA ALZAS 1,5m3</t>
  </si>
  <si>
    <t>E-TECH 7,5kWh</t>
  </si>
  <si>
    <t xml:space="preserve">MULTIUSOS (DESINFECCIÓN-HIDROLIMP) 0,7m3 </t>
  </si>
  <si>
    <t>CAJA ABIERTA BASCULANTE MINIVAN Cabina SIMPLE 4m3</t>
  </si>
  <si>
    <t>E-TECH 9kWh</t>
  </si>
  <si>
    <t>1100 kg</t>
  </si>
  <si>
    <t>CAJA CERRADA MINIVAN Cabina SIMPLE 3m3</t>
  </si>
  <si>
    <t>950 kg</t>
  </si>
  <si>
    <t>PORTACONTENEDOR MINIVAN Cabina SIMPLE 3,5m3</t>
  </si>
  <si>
    <t>BARREDORA ELÉCTRICA Cabina SIMPLE 2m3</t>
  </si>
  <si>
    <t>CAJA ABIERTA 3P PLATAFORMA 21 m</t>
  </si>
  <si>
    <t>E-TECH D WIDE R6x2 PTC26T 376kWh</t>
  </si>
  <si>
    <t>VALOR ADQUISICIÓN 2025 (sin IVA)</t>
  </si>
  <si>
    <t>IPC (para años 2026 y siguientes)</t>
  </si>
  <si>
    <t>Total valor adquisición actualizado</t>
  </si>
  <si>
    <t>CONSUMO (l/100Km o KWH/100 km)</t>
  </si>
  <si>
    <t>LITROS / AÑO - KWH/AÑO</t>
  </si>
  <si>
    <t>COSTE €/l - €/KWH</t>
  </si>
  <si>
    <t>COSTE KWH</t>
  </si>
  <si>
    <t>COSTE litro/Gasolina</t>
  </si>
  <si>
    <t>COSTE litro/Diesel</t>
  </si>
  <si>
    <t>Precio Mercado junio 2025</t>
  </si>
  <si>
    <t>COSTE litro/GLP - GNC</t>
  </si>
  <si>
    <t>COSTE TOTAL LUBRICANTE Y COMBUSTIBLES</t>
  </si>
  <si>
    <t xml:space="preserve">D=A·B </t>
  </si>
  <si>
    <t>MOTOSIERRA Pequeña 25 cm espada</t>
  </si>
  <si>
    <t>MOTOSIERRA Mediana 30 cm espada</t>
  </si>
  <si>
    <t>MOTOSIERRA Grande 35 cm espada</t>
  </si>
  <si>
    <t>TIPOLOGIA</t>
  </si>
  <si>
    <t>MODELO</t>
  </si>
  <si>
    <t>EQUIPAMIENTO</t>
  </si>
  <si>
    <t>IMPORTE</t>
  </si>
  <si>
    <t>Diesel</t>
  </si>
  <si>
    <t>35S16 V</t>
  </si>
  <si>
    <t>   44.450,00 €</t>
  </si>
  <si>
    <t>35S14N V GNC</t>
  </si>
  <si>
    <t>   49.600,00 €</t>
  </si>
  <si>
    <t>35S16H 3,0</t>
  </si>
  <si>
    <t>   42.500,00 €</t>
  </si>
  <si>
    <t>35S14N GNC</t>
  </si>
  <si>
    <t>   49.300,00 €</t>
  </si>
  <si>
    <t>40C16H 3,0</t>
  </si>
  <si>
    <t>   45.100,00 €</t>
  </si>
  <si>
    <t>40C14N GNC</t>
  </si>
  <si>
    <t>   57.900,00 €</t>
  </si>
  <si>
    <t>ML160E25/P</t>
  </si>
  <si>
    <t>   93.400,00 €</t>
  </si>
  <si>
    <t>ML160E22/P GNC</t>
  </si>
  <si>
    <t> 124.500,00 €</t>
  </si>
  <si>
    <t>AD260S34Y/PS</t>
  </si>
  <si>
    <t> 121.200,00 €</t>
  </si>
  <si>
    <t>AD260S34Y/PS GNC</t>
  </si>
  <si>
    <t> 153.200,00 €</t>
  </si>
  <si>
    <t> 125.900,00 €</t>
  </si>
  <si>
    <t> 157.500,00 €</t>
  </si>
  <si>
    <t>70C16 H</t>
  </si>
  <si>
    <t>   51.400,00 €</t>
  </si>
  <si>
    <t>70C14G GNC</t>
  </si>
  <si>
    <t>   65.100,00 €</t>
  </si>
  <si>
    <t>50C16 H</t>
  </si>
  <si>
    <t>   45.800,00 €</t>
  </si>
  <si>
    <t>50C14N GNC</t>
  </si>
  <si>
    <t>   58.700,00 €</t>
  </si>
  <si>
    <t>Furgón</t>
  </si>
  <si>
    <t>Cambio Manual, 12 m3, Aire acondicionado, Modulo de expansion, Avisador Acustico, Cruise Control, Radio Bluetooth con manos libres.</t>
  </si>
  <si>
    <t>Cambio Manual, DEE 3750mm, Aire acondicionado, Modulo de expansion, Avisador Acustico, Cruise Control, Radio Bluetooth con manos libres.</t>
  </si>
  <si>
    <t>Cambio Manual, DEE 3750mm, Aire acondicionado, Modulo de expansion, Avisador Acustico, Cruise Control,  Radio Bluetooth con manos libres.</t>
  </si>
  <si>
    <t>Cambio Manual, DEE 3750mm, Susp. Posterior semieliptioca, Aire acondicionado, Modulo de expansion, Avisador Acustico, Cruise Control, Radio Bluetooth con manos libres, Toma de fuerza en caja de cambios.</t>
  </si>
  <si>
    <t>Cambio Manual, DEE 3450mm, Aire acondicionado, Módulo de expansión, Susp. Posterior semieliptica ocn ballestin, Avisador Acustico, Cruise Control,  Radio Bluetooth con manos libres, toma de fuerza en cjaa de cambios.</t>
  </si>
  <si>
    <t>Cambio ALLISON, DEE 3690mm, Susp. Posterior Neumática, Aire acondicionado, Can open interface, Avisador Acústico, Cruise Control, Radio Bluetooth con manos libres, Toma de fuerza en caja de cambios.</t>
  </si>
  <si>
    <t>Cambio ALLISON, DEE 4200mm, Susp. Posterior Neumática, Aire acondicionado, Can open interface, Avisador Acústico, Cruise Control, Radio Bluetooth con manos libres, Toma de fuerza en caja de cambios.</t>
  </si>
  <si>
    <t>Cambio Manual, DEE 3450mm, Aire acondicionado, Módulo de expansión, Susp. Posterior semieliptica ocn ballestin, Avisador Acústico, Cruise Control,  Radio Bluetooth con manos libres, toma de fuerza en caja de cambios.</t>
  </si>
  <si>
    <t>TRES EJES PLUMA + PORTACONTENEDORES</t>
  </si>
  <si>
    <t xml:space="preserve">DESCRIPCIÓN VEHÍCULOS </t>
  </si>
  <si>
    <t xml:space="preserve">TABLA RESUMEN CON LOS PRINCIPALES CHASIS (ESTO SÓLO ES PARA LA MARCA IVECO) Y SOLO  INCLUIDO MOTOR DIESEL O GNC </t>
  </si>
  <si>
    <t>E-TECH 75kWh</t>
  </si>
  <si>
    <t>E-TECH 50kWh</t>
  </si>
  <si>
    <t xml:space="preserve">TRES EJES PLUMA </t>
  </si>
  <si>
    <t>ORUS TP 7 (2 compartimentos) 
Vehículo completo chasis + carrocería</t>
  </si>
  <si>
    <t>TCL-2 (Chasis de furgón)</t>
  </si>
  <si>
    <t>Camión 3.500 Kg  para carrozarlo con caja abierta
(Chasis)</t>
  </si>
  <si>
    <t>Camión 4.500 Kg  para instalación de plataforma
(Chasis)</t>
  </si>
  <si>
    <t>Olympus 11N    11,3m3 
(Chasis)</t>
  </si>
  <si>
    <t>Olympus 22N    21,38 m3
(Chasis)</t>
  </si>
  <si>
    <t>SLM 25 2             24,1 m3
(Chasis)</t>
  </si>
  <si>
    <t>TRES EJES + CAJA BASCULANTE</t>
  </si>
  <si>
    <t>TRES EJES + CAMIÓN CISTERNA</t>
  </si>
  <si>
    <t>TRES EJES + GRUA + BASCULANTE</t>
  </si>
  <si>
    <t xml:space="preserve">TRES EJES + GRÚA </t>
  </si>
  <si>
    <t xml:space="preserve">DOS EJES + GRÚA </t>
  </si>
  <si>
    <t>DOS EJES + GRÚA</t>
  </si>
  <si>
    <t>TRES EJES PLUMA+ PORTACONTENEDORES</t>
  </si>
  <si>
    <t xml:space="preserve">DOS EJES - PORTACONTENEDORES </t>
  </si>
  <si>
    <t>TRES EJES + GRÚA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</si>
</sst>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0.00\ &quot;€&quot;;[Red]\-#,##0.00\ &quot;€&quot;"/>
    <numFmt numFmtId="44" formatCode="_-* #,##0.00\ &quot;€&quot;_-;\-* #,##0.00\ &quot;€&quot;_-;_-* &quot;-&quot;??\ &quot;€&quot;_-;_-@_-"/>
    <numFmt numFmtId="164" formatCode="_-* #,##0.00\ _€_-;\-* #,##0.00\ _€_-;_-* &quot;-&quot;??\ _€_-;_-@_-"/>
    <numFmt numFmtId="165" formatCode="#,##0.00\ &quot;€&quot;"/>
    <numFmt numFmtId="166" formatCode="0.0%"/>
    <numFmt numFmtId="167" formatCode="0.0"/>
    <numFmt numFmtId="168" formatCode="0.000"/>
    <numFmt numFmtId="169" formatCode="0.0000"/>
    <numFmt numFmtId="170" formatCode="#,##0.0"/>
    <numFmt numFmtId="171" formatCode="#,##0.000000"/>
    <numFmt numFmtId="172" formatCode="#,##0.00\ _€"/>
    <numFmt numFmtId="173" formatCode="#,##0.0000"/>
  </numFmts>
  <fonts count="94">
    <font>
      <sz val="10"/>
      <name val="Arial"/>
      <charset val="134"/>
    </font>
    <font>
      <sz val="9"/>
      <name val="Arial"/>
      <charset val="134"/>
    </font>
    <font>
      <b/>
      <sz val="11"/>
      <color indexed="10"/>
      <name val="Arial"/>
      <charset val="134"/>
    </font>
    <font>
      <sz val="9"/>
      <color indexed="10"/>
      <name val="Arial"/>
      <charset val="134"/>
    </font>
    <font>
      <sz val="8"/>
      <name val="Arial"/>
      <charset val="134"/>
    </font>
    <font>
      <b/>
      <sz val="9"/>
      <color indexed="10"/>
      <name val="Arial"/>
      <charset val="134"/>
    </font>
    <font>
      <b/>
      <sz val="9"/>
      <name val="Arial"/>
      <charset val="134"/>
    </font>
    <font>
      <b/>
      <sz val="10"/>
      <color indexed="10"/>
      <name val="Arial"/>
      <charset val="134"/>
    </font>
    <font>
      <sz val="10"/>
      <color indexed="8"/>
      <name val="Arial"/>
      <charset val="134"/>
    </font>
    <font>
      <b/>
      <sz val="9"/>
      <name val="Tahoma"/>
      <charset val="134"/>
    </font>
    <font>
      <sz val="9"/>
      <name val="Tahoma"/>
      <charset val="134"/>
    </font>
    <font>
      <b/>
      <sz val="8"/>
      <name val="Tahoma"/>
      <charset val="134"/>
    </font>
    <font>
      <sz val="10"/>
      <name val="Arial"/>
      <charset val="134"/>
    </font>
    <font>
      <b/>
      <sz val="10"/>
      <name val="Arial"/>
      <family val="2"/>
    </font>
    <font>
      <sz val="10"/>
      <name val="Arial"/>
      <family val="2"/>
    </font>
    <font>
      <sz val="9"/>
      <name val="Arial"/>
      <family val="2"/>
    </font>
    <font>
      <b/>
      <sz val="9"/>
      <color indexed="62"/>
      <name val="Arial"/>
      <family val="2"/>
    </font>
    <font>
      <b/>
      <sz val="9"/>
      <name val="Arial"/>
      <family val="2"/>
    </font>
    <font>
      <sz val="5"/>
      <name val="Arial"/>
      <family val="2"/>
    </font>
    <font>
      <sz val="11"/>
      <name val="Calibri"/>
      <family val="2"/>
    </font>
    <font>
      <b/>
      <sz val="11"/>
      <name val="Calibri"/>
      <family val="2"/>
    </font>
    <font>
      <i/>
      <sz val="11"/>
      <name val="Calibri"/>
      <family val="2"/>
    </font>
    <font>
      <u/>
      <sz val="10"/>
      <color theme="10"/>
      <name val="Arial"/>
      <family val="2"/>
    </font>
    <font>
      <b/>
      <sz val="11"/>
      <color indexed="9"/>
      <name val="Calibri"/>
      <charset val="134"/>
      <scheme val="minor"/>
    </font>
    <font>
      <sz val="11"/>
      <name val="Calibri"/>
      <charset val="134"/>
      <scheme val="minor"/>
    </font>
    <font>
      <sz val="11"/>
      <color theme="8" tint="-0.499984740745262"/>
      <name val="Calibri"/>
      <charset val="134"/>
      <scheme val="minor"/>
    </font>
    <font>
      <i/>
      <sz val="11"/>
      <name val="Calibri"/>
      <charset val="134"/>
      <scheme val="minor"/>
    </font>
    <font>
      <sz val="11"/>
      <color theme="4" tint="-0.499984740745262"/>
      <name val="Calibri"/>
      <charset val="134"/>
      <scheme val="minor"/>
    </font>
    <font>
      <sz val="11"/>
      <color theme="1" tint="0.249977111117893"/>
      <name val="Calibri"/>
      <charset val="134"/>
      <scheme val="minor"/>
    </font>
    <font>
      <sz val="10"/>
      <name val="Calibri"/>
      <charset val="134"/>
      <scheme val="minor"/>
    </font>
    <font>
      <b/>
      <sz val="10"/>
      <name val="Calibri"/>
      <charset val="134"/>
      <scheme val="minor"/>
    </font>
    <font>
      <sz val="11"/>
      <color theme="1" tint="0.34998626667073579"/>
      <name val="Calibri"/>
      <charset val="134"/>
      <scheme val="minor"/>
    </font>
    <font>
      <b/>
      <sz val="11"/>
      <name val="Calibri"/>
      <charset val="134"/>
      <scheme val="minor"/>
    </font>
    <font>
      <b/>
      <sz val="11"/>
      <color theme="5"/>
      <name val="Calibri"/>
      <charset val="134"/>
      <scheme val="minor"/>
    </font>
    <font>
      <b/>
      <sz val="11"/>
      <color theme="1" tint="0.34998626667073579"/>
      <name val="Calibri"/>
      <charset val="134"/>
      <scheme val="minor"/>
    </font>
    <font>
      <b/>
      <sz val="11"/>
      <color theme="1" tint="0.499984740745262"/>
      <name val="Calibri"/>
      <charset val="134"/>
      <scheme val="minor"/>
    </font>
    <font>
      <b/>
      <sz val="11"/>
      <color theme="4" tint="-0.499984740745262"/>
      <name val="Calibri"/>
      <charset val="134"/>
      <scheme val="minor"/>
    </font>
    <font>
      <b/>
      <sz val="11"/>
      <color theme="4" tint="-0.249977111117893"/>
      <name val="Calibri"/>
      <charset val="134"/>
      <scheme val="minor"/>
    </font>
    <font>
      <b/>
      <sz val="11"/>
      <color theme="0"/>
      <name val="Calibri"/>
      <charset val="134"/>
      <scheme val="minor"/>
    </font>
    <font>
      <sz val="11"/>
      <color theme="4" tint="-0.249977111117893"/>
      <name val="Calibri"/>
      <charset val="134"/>
      <scheme val="minor"/>
    </font>
    <font>
      <sz val="11"/>
      <color theme="0"/>
      <name val="Calibri"/>
      <charset val="134"/>
      <scheme val="minor"/>
    </font>
    <font>
      <b/>
      <sz val="11"/>
      <color theme="4" tint="0.59999389629810485"/>
      <name val="Calibri"/>
      <charset val="134"/>
      <scheme val="minor"/>
    </font>
    <font>
      <sz val="11"/>
      <color theme="9" tint="0.79992065187536243"/>
      <name val="Calibri"/>
      <charset val="134"/>
      <scheme val="minor"/>
    </font>
    <font>
      <sz val="11"/>
      <color theme="1" tint="0.499984740745262"/>
      <name val="Calibri"/>
      <charset val="134"/>
      <scheme val="minor"/>
    </font>
    <font>
      <sz val="11"/>
      <color rgb="FF000000"/>
      <name val="Calibri"/>
      <charset val="134"/>
    </font>
    <font>
      <b/>
      <sz val="11"/>
      <color theme="8" tint="-0.499984740745262"/>
      <name val="Calibri"/>
      <charset val="134"/>
      <scheme val="minor"/>
    </font>
    <font>
      <b/>
      <sz val="12"/>
      <color indexed="9"/>
      <name val="Calibri"/>
      <charset val="134"/>
      <scheme val="minor"/>
    </font>
    <font>
      <b/>
      <sz val="9"/>
      <color theme="1" tint="0.34998626667073579"/>
      <name val="Calibri"/>
      <charset val="134"/>
      <scheme val="minor"/>
    </font>
    <font>
      <b/>
      <sz val="11"/>
      <color theme="5" tint="-0.249977111117893"/>
      <name val="Calibri"/>
      <charset val="134"/>
      <scheme val="minor"/>
    </font>
    <font>
      <b/>
      <sz val="11"/>
      <color theme="4" tint="-0.249977111117893"/>
      <name val="Calibri"/>
      <family val="2"/>
      <scheme val="minor"/>
    </font>
    <font>
      <sz val="11"/>
      <color indexed="8"/>
      <name val="Calibri"/>
      <charset val="134"/>
      <scheme val="minor"/>
    </font>
    <font>
      <b/>
      <sz val="11"/>
      <color indexed="8"/>
      <name val="Calibri"/>
      <family val="2"/>
      <scheme val="minor"/>
    </font>
    <font>
      <b/>
      <sz val="11"/>
      <color theme="1" tint="0.499984740745262"/>
      <name val="Calibri"/>
      <family val="2"/>
      <scheme val="minor"/>
    </font>
    <font>
      <sz val="11"/>
      <color indexed="9"/>
      <name val="Calibri"/>
      <charset val="134"/>
      <scheme val="minor"/>
    </font>
    <font>
      <b/>
      <sz val="11"/>
      <color theme="0"/>
      <name val="Calibri"/>
      <family val="2"/>
      <scheme val="minor"/>
    </font>
    <font>
      <b/>
      <sz val="9.5"/>
      <color theme="4" tint="-0.499984740745262"/>
      <name val="Arial"/>
      <family val="2"/>
    </font>
    <font>
      <b/>
      <sz val="9"/>
      <color theme="4" tint="-0.249977111117893"/>
      <name val="Arial"/>
      <family val="2"/>
    </font>
    <font>
      <sz val="10"/>
      <name val="Calibri"/>
      <family val="2"/>
      <scheme val="minor"/>
    </font>
    <font>
      <sz val="9"/>
      <name val="Calibri"/>
      <family val="2"/>
      <scheme val="minor"/>
    </font>
    <font>
      <b/>
      <sz val="10"/>
      <name val="Calibri"/>
      <family val="2"/>
      <scheme val="minor"/>
    </font>
    <font>
      <b/>
      <sz val="9"/>
      <color theme="6" tint="-0.499984740745262"/>
      <name val="Calibri"/>
      <family val="2"/>
      <scheme val="minor"/>
    </font>
    <font>
      <b/>
      <sz val="11"/>
      <name val="Calibri"/>
      <family val="2"/>
      <scheme val="minor"/>
    </font>
    <font>
      <sz val="11"/>
      <color theme="1" tint="0.34998626667073579"/>
      <name val="Calibri"/>
      <family val="2"/>
      <scheme val="minor"/>
    </font>
    <font>
      <sz val="11"/>
      <name val="Calibri"/>
      <family val="2"/>
      <scheme val="minor"/>
    </font>
    <font>
      <b/>
      <sz val="11"/>
      <color theme="5"/>
      <name val="Calibri"/>
      <family val="2"/>
      <scheme val="minor"/>
    </font>
    <font>
      <sz val="11"/>
      <color theme="2" tint="-0.499984740745262"/>
      <name val="Calibri"/>
      <family val="2"/>
      <scheme val="minor"/>
    </font>
    <font>
      <b/>
      <sz val="11"/>
      <color theme="2" tint="-0.499984740745262"/>
      <name val="Calibri"/>
      <family val="2"/>
      <scheme val="minor"/>
    </font>
    <font>
      <b/>
      <sz val="11"/>
      <color theme="3" tint="0.39997558519241921"/>
      <name val="Calibri"/>
      <family val="2"/>
      <scheme val="minor"/>
    </font>
    <font>
      <b/>
      <sz val="11"/>
      <color indexed="9"/>
      <name val="Calibri"/>
      <family val="2"/>
      <scheme val="minor"/>
    </font>
    <font>
      <b/>
      <sz val="9"/>
      <name val="Calibri"/>
      <family val="2"/>
      <scheme val="minor"/>
    </font>
    <font>
      <sz val="9"/>
      <color theme="1" tint="0.499984740745262"/>
      <name val="Calibri"/>
      <family val="2"/>
      <scheme val="minor"/>
    </font>
    <font>
      <b/>
      <sz val="9"/>
      <color theme="0"/>
      <name val="Calibri"/>
      <family val="2"/>
      <scheme val="minor"/>
    </font>
    <font>
      <b/>
      <sz val="10"/>
      <color theme="0"/>
      <name val="Calibri"/>
      <family val="2"/>
      <scheme val="minor"/>
    </font>
    <font>
      <b/>
      <sz val="9"/>
      <color theme="3" tint="-0.249977111117893"/>
      <name val="Calibri"/>
      <family val="2"/>
      <scheme val="minor"/>
    </font>
    <font>
      <b/>
      <sz val="9"/>
      <color theme="1" tint="0.249977111117893"/>
      <name val="Calibri"/>
      <family val="2"/>
      <scheme val="minor"/>
    </font>
    <font>
      <b/>
      <sz val="11"/>
      <color theme="1" tint="0.34998626667073579"/>
      <name val="Calibri"/>
      <family val="2"/>
      <scheme val="minor"/>
    </font>
    <font>
      <sz val="9"/>
      <name val="Calibri"/>
      <charset val="134"/>
      <scheme val="minor"/>
    </font>
    <font>
      <b/>
      <sz val="12"/>
      <color theme="0"/>
      <name val="Calibri"/>
      <charset val="134"/>
      <scheme val="minor"/>
    </font>
    <font>
      <sz val="10"/>
      <color theme="0" tint="-0.14999847407452621"/>
      <name val="Calibri"/>
      <family val="2"/>
      <scheme val="minor"/>
    </font>
    <font>
      <b/>
      <sz val="10"/>
      <color theme="1" tint="0.34998626667073579"/>
      <name val="Calibri"/>
      <family val="2"/>
      <scheme val="minor"/>
    </font>
    <font>
      <sz val="11"/>
      <color theme="0"/>
      <name val="Calibri"/>
      <family val="2"/>
      <scheme val="minor"/>
    </font>
    <font>
      <sz val="9"/>
      <color theme="0"/>
      <name val="Arial"/>
      <family val="2"/>
    </font>
    <font>
      <sz val="10"/>
      <color theme="0"/>
      <name val="Arial"/>
      <family val="2"/>
    </font>
    <font>
      <sz val="10"/>
      <color theme="0"/>
      <name val="Calibri"/>
      <family val="2"/>
      <scheme val="minor"/>
    </font>
    <font>
      <b/>
      <sz val="9"/>
      <color theme="4" tint="-0.499984740745262"/>
      <name val="Calibri"/>
      <family val="2"/>
      <scheme val="minor"/>
    </font>
    <font>
      <b/>
      <sz val="12"/>
      <color theme="0"/>
      <name val="Calibri"/>
      <family val="2"/>
      <scheme val="minor"/>
    </font>
    <font>
      <b/>
      <sz val="11"/>
      <color theme="4" tint="-0.499984740745262"/>
      <name val="Calibri"/>
      <family val="2"/>
      <scheme val="minor"/>
    </font>
    <font>
      <sz val="11"/>
      <color theme="0" tint="-0.249977111117893"/>
      <name val="Calibri"/>
      <family val="2"/>
      <scheme val="minor"/>
    </font>
    <font>
      <b/>
      <sz val="11"/>
      <color theme="0" tint="-0.249977111117893"/>
      <name val="Calibri"/>
      <family val="2"/>
      <scheme val="minor"/>
    </font>
    <font>
      <sz val="11"/>
      <color theme="4" tint="-0.249977111117893"/>
      <name val="Calibri"/>
      <family val="2"/>
      <scheme val="minor"/>
    </font>
    <font>
      <i/>
      <sz val="11"/>
      <color theme="4" tint="-0.499984740745262"/>
      <name val="Calibri"/>
      <family val="2"/>
      <scheme val="minor"/>
    </font>
    <font>
      <b/>
      <sz val="10"/>
      <color theme="5" tint="-0.499984740745262"/>
      <name val="Calibri"/>
      <family val="2"/>
      <scheme val="minor"/>
    </font>
    <font>
      <sz val="11"/>
      <color indexed="8"/>
      <name val="Calibri"/>
      <family val="2"/>
      <scheme val="minor"/>
    </font>
    <font>
      <b/>
      <sz val="11"/>
      <color theme="1" tint="0.249977111117893"/>
      <name val="Calibri"/>
      <family val="2"/>
      <scheme val="minor"/>
    </font>
  </fonts>
  <fills count="29">
    <fill>
      <patternFill patternType="none"/>
    </fill>
    <fill>
      <patternFill patternType="gray125"/>
    </fill>
    <fill>
      <patternFill patternType="solid">
        <fgColor theme="4" tint="0.39991454817346722"/>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4" tint="0.59999389629810485"/>
        <bgColor indexed="0"/>
      </patternFill>
    </fill>
    <fill>
      <patternFill patternType="solid">
        <fgColor theme="4" tint="0.79992065187536243"/>
        <bgColor indexed="0"/>
      </patternFill>
    </fill>
    <fill>
      <patternFill patternType="solid">
        <fgColor theme="4" tint="0.39991454817346722"/>
        <bgColor indexed="0"/>
      </patternFill>
    </fill>
    <fill>
      <patternFill patternType="solid">
        <fgColor theme="4"/>
        <bgColor indexed="0"/>
      </patternFill>
    </fill>
    <fill>
      <patternFill patternType="solid">
        <fgColor theme="7" tint="0.79992065187536243"/>
        <bgColor indexed="64"/>
      </patternFill>
    </fill>
    <fill>
      <patternFill patternType="solid">
        <fgColor theme="4" tint="-0.249977111117893"/>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4" tint="-0.249977111117893"/>
        <bgColor indexed="0"/>
      </patternFill>
    </fill>
    <fill>
      <patternFill patternType="solid">
        <fgColor theme="7" tint="0.39997558519241921"/>
        <bgColor indexed="0"/>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rgb="FFFFEA93"/>
        <bgColor indexed="64"/>
      </patternFill>
    </fill>
    <fill>
      <patternFill patternType="solid">
        <fgColor rgb="FF8FB638"/>
        <bgColor indexed="64"/>
      </patternFill>
    </fill>
    <fill>
      <patternFill patternType="solid">
        <fgColor theme="9" tint="0.79998168889431442"/>
        <bgColor indexed="64"/>
      </patternFill>
    </fill>
  </fills>
  <borders count="101">
    <border>
      <left/>
      <right/>
      <top/>
      <bottom/>
      <diagonal/>
    </border>
    <border>
      <left/>
      <right/>
      <top/>
      <bottom style="thin">
        <color indexed="64"/>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n">
        <color theme="4" tint="-0.249977111117893"/>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249977111117893"/>
      </right>
      <top style="thin">
        <color theme="4" tint="0.59999389629810485"/>
      </top>
      <bottom style="thin">
        <color theme="4" tint="0.59999389629810485"/>
      </bottom>
      <diagonal/>
    </border>
    <border>
      <left style="thin">
        <color theme="4" tint="-0.249977111117893"/>
      </left>
      <right/>
      <top/>
      <bottom/>
      <diagonal/>
    </border>
    <border>
      <left/>
      <right style="thin">
        <color theme="4" tint="-0.249977111117893"/>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style="thin">
        <color theme="0"/>
      </left>
      <right style="thin">
        <color theme="0"/>
      </right>
      <top style="thin">
        <color theme="0"/>
      </top>
      <bottom style="thin">
        <color theme="0"/>
      </bottom>
      <diagonal/>
    </border>
    <border>
      <left style="thin">
        <color theme="4" tint="-0.499984740745262"/>
      </left>
      <right/>
      <top/>
      <bottom/>
      <diagonal/>
    </border>
    <border>
      <left/>
      <right style="thin">
        <color theme="4" tint="-0.499984740745262"/>
      </right>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right/>
      <top style="thin">
        <color theme="4" tint="0.59999389629810485"/>
      </top>
      <bottom/>
      <diagonal/>
    </border>
    <border>
      <left/>
      <right style="thin">
        <color theme="4" tint="0.59999389629810485"/>
      </right>
      <top style="thin">
        <color theme="4" tint="0.59999389629810485"/>
      </top>
      <bottom/>
      <diagonal/>
    </border>
    <border>
      <left/>
      <right style="thin">
        <color theme="4" tint="0.59999389629810485"/>
      </right>
      <top/>
      <bottom/>
      <diagonal/>
    </border>
    <border>
      <left/>
      <right/>
      <top/>
      <bottom style="thin">
        <color theme="4" tint="0.59999389629810485"/>
      </bottom>
      <diagonal/>
    </border>
    <border>
      <left/>
      <right style="thin">
        <color theme="4" tint="0.59999389629810485"/>
      </right>
      <top/>
      <bottom style="thin">
        <color theme="4" tint="0.59999389629810485"/>
      </bottom>
      <diagonal/>
    </border>
    <border>
      <left style="thin">
        <color theme="4" tint="0.59999389629810485"/>
      </left>
      <right/>
      <top/>
      <bottom style="thin">
        <color theme="4" tint="0.59999389629810485"/>
      </bottom>
      <diagonal/>
    </border>
    <border>
      <left style="thin">
        <color theme="4" tint="0.59999389629810485"/>
      </left>
      <right/>
      <top style="thin">
        <color theme="4" tint="0.59999389629810485"/>
      </top>
      <bottom/>
      <diagonal/>
    </border>
    <border>
      <left style="thin">
        <color theme="4" tint="-0.249977111117893"/>
      </left>
      <right/>
      <top/>
      <bottom style="thin">
        <color theme="4" tint="-0.249977111117893"/>
      </bottom>
      <diagonal/>
    </border>
    <border>
      <left/>
      <right/>
      <top/>
      <bottom style="thin">
        <color theme="4" tint="-0.249977111117893"/>
      </bottom>
      <diagonal/>
    </border>
    <border>
      <left/>
      <right style="thin">
        <color theme="4" tint="-0.249977111117893"/>
      </right>
      <top/>
      <bottom style="thin">
        <color theme="4" tint="-0.249977111117893"/>
      </bottom>
      <diagonal/>
    </border>
    <border>
      <left/>
      <right style="thin">
        <color theme="4" tint="-0.249977111117893"/>
      </right>
      <top style="thin">
        <color theme="4" tint="-0.249977111117893"/>
      </top>
      <bottom style="thin">
        <color theme="4" tint="0.59999389629810485"/>
      </bottom>
      <diagonal/>
    </border>
    <border>
      <left style="thin">
        <color theme="0"/>
      </left>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5" tint="-0.249977111117893"/>
      </left>
      <right style="thin">
        <color theme="0" tint="-0.34998626667073579"/>
      </right>
      <top style="thin">
        <color theme="5" tint="-0.249977111117893"/>
      </top>
      <bottom style="thin">
        <color theme="0" tint="-0.34998626667073579"/>
      </bottom>
      <diagonal/>
    </border>
    <border>
      <left style="thin">
        <color theme="0" tint="-0.34998626667073579"/>
      </left>
      <right style="thin">
        <color theme="0" tint="-0.34998626667073579"/>
      </right>
      <top style="thin">
        <color theme="5" tint="-0.249977111117893"/>
      </top>
      <bottom style="thin">
        <color theme="0" tint="-0.34998626667073579"/>
      </bottom>
      <diagonal/>
    </border>
    <border>
      <left style="thin">
        <color theme="0" tint="-0.34998626667073579"/>
      </left>
      <right style="thin">
        <color theme="5" tint="-0.249977111117893"/>
      </right>
      <top style="thin">
        <color theme="5" tint="-0.249977111117893"/>
      </top>
      <bottom style="thin">
        <color theme="0" tint="-0.34998626667073579"/>
      </bottom>
      <diagonal/>
    </border>
    <border>
      <left style="thin">
        <color theme="5" tint="-0.249977111117893"/>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5" tint="-0.249977111117893"/>
      </right>
      <top style="thin">
        <color theme="0" tint="-0.34998626667073579"/>
      </top>
      <bottom style="thin">
        <color theme="0" tint="-0.34998626667073579"/>
      </bottom>
      <diagonal/>
    </border>
    <border>
      <left style="thin">
        <color theme="5" tint="-0.249977111117893"/>
      </left>
      <right style="thin">
        <color theme="0" tint="-0.34998626667073579"/>
      </right>
      <top style="thin">
        <color theme="0" tint="-0.34998626667073579"/>
      </top>
      <bottom style="thin">
        <color theme="5" tint="-0.249977111117893"/>
      </bottom>
      <diagonal/>
    </border>
    <border>
      <left style="thin">
        <color theme="0" tint="-0.34998626667073579"/>
      </left>
      <right style="thin">
        <color theme="0" tint="-0.34998626667073579"/>
      </right>
      <top style="thin">
        <color theme="0" tint="-0.34998626667073579"/>
      </top>
      <bottom style="thin">
        <color theme="5" tint="-0.249977111117893"/>
      </bottom>
      <diagonal/>
    </border>
    <border>
      <left style="thin">
        <color theme="0" tint="-0.34998626667073579"/>
      </left>
      <right style="thin">
        <color theme="5" tint="-0.249977111117893"/>
      </right>
      <top style="thin">
        <color theme="0" tint="-0.34998626667073579"/>
      </top>
      <bottom style="thin">
        <color theme="5" tint="-0.249977111117893"/>
      </bottom>
      <diagonal/>
    </border>
    <border>
      <left/>
      <right style="thin">
        <color theme="5" tint="-0.249977111117893"/>
      </right>
      <top/>
      <bottom/>
      <diagonal/>
    </border>
    <border>
      <left style="thin">
        <color theme="5" tint="-0.249977111117893"/>
      </left>
      <right/>
      <top/>
      <bottom style="thin">
        <color theme="5" tint="-0.249977111117893"/>
      </bottom>
      <diagonal/>
    </border>
    <border>
      <left/>
      <right/>
      <top/>
      <bottom style="thin">
        <color theme="5" tint="-0.249977111117893"/>
      </bottom>
      <diagonal/>
    </border>
    <border>
      <left style="thin">
        <color theme="5" tint="-0.249977111117893"/>
      </left>
      <right style="thin">
        <color theme="0"/>
      </right>
      <top style="thin">
        <color theme="0"/>
      </top>
      <bottom style="thin">
        <color theme="0"/>
      </bottom>
      <diagonal/>
    </border>
    <border>
      <left style="thin">
        <color theme="5" tint="-0.249977111117893"/>
      </left>
      <right/>
      <top/>
      <bottom/>
      <diagonal/>
    </border>
    <border>
      <left/>
      <right style="thin">
        <color theme="5" tint="-0.249977111117893"/>
      </right>
      <top/>
      <bottom style="thin">
        <color theme="5" tint="-0.249977111117893"/>
      </bottom>
      <diagonal/>
    </border>
    <border>
      <left style="thin">
        <color theme="5" tint="-0.249977111117893"/>
      </left>
      <right/>
      <top style="thin">
        <color theme="0"/>
      </top>
      <bottom style="thin">
        <color theme="5" tint="-0.249977111117893"/>
      </bottom>
      <diagonal/>
    </border>
    <border>
      <left/>
      <right/>
      <top style="thin">
        <color theme="0"/>
      </top>
      <bottom style="thin">
        <color theme="5" tint="-0.249977111117893"/>
      </bottom>
      <diagonal/>
    </border>
    <border>
      <left style="thin">
        <color theme="0"/>
      </left>
      <right style="thin">
        <color theme="0"/>
      </right>
      <top/>
      <bottom/>
      <diagonal/>
    </border>
    <border>
      <left style="thin">
        <color theme="4" tint="0.59999389629810485"/>
      </left>
      <right/>
      <top/>
      <bottom/>
      <diagonal/>
    </border>
    <border>
      <left style="thin">
        <color theme="0" tint="-0.34998626667073579"/>
      </left>
      <right style="thin">
        <color theme="0" tint="-0.34998626667073579"/>
      </right>
      <top/>
      <bottom style="thin">
        <color theme="0" tint="-0.34998626667073579"/>
      </bottom>
      <diagonal/>
    </border>
    <border>
      <left style="thin">
        <color theme="8" tint="0.79998168889431442"/>
      </left>
      <right/>
      <top style="thin">
        <color theme="8" tint="0.79998168889431442"/>
      </top>
      <bottom style="thin">
        <color theme="8" tint="0.79998168889431442"/>
      </bottom>
      <diagonal/>
    </border>
    <border>
      <left/>
      <right/>
      <top style="thin">
        <color theme="8" tint="0.79998168889431442"/>
      </top>
      <bottom style="thin">
        <color theme="8" tint="0.79998168889431442"/>
      </bottom>
      <diagonal/>
    </border>
    <border>
      <left/>
      <right style="thin">
        <color theme="8" tint="0.79998168889431442"/>
      </right>
      <top style="thin">
        <color theme="8" tint="0.79998168889431442"/>
      </top>
      <bottom style="thin">
        <color theme="8" tint="0.79998168889431442"/>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style="thin">
        <color theme="0" tint="-0.34998626667073579"/>
      </left>
      <right style="thin">
        <color theme="0" tint="-0.34998626667073579"/>
      </right>
      <top/>
      <bottom/>
      <diagonal/>
    </border>
    <border>
      <left/>
      <right/>
      <top style="thin">
        <color theme="8" tint="0.79998168889431442"/>
      </top>
      <bottom style="thin">
        <color theme="4" tint="0.59999389629810485"/>
      </bottom>
      <diagonal/>
    </border>
    <border>
      <left/>
      <right/>
      <top style="thin">
        <color theme="8" tint="0.79998168889431442"/>
      </top>
      <bottom/>
      <diagonal/>
    </border>
    <border>
      <left style="thin">
        <color theme="8" tint="0.79998168889431442"/>
      </left>
      <right/>
      <top style="thin">
        <color theme="8" tint="0.79998168889431442"/>
      </top>
      <bottom/>
      <diagonal/>
    </border>
    <border>
      <left/>
      <right style="thin">
        <color theme="8" tint="0.79998168889431442"/>
      </right>
      <top style="thin">
        <color theme="8" tint="0.79998168889431442"/>
      </top>
      <bottom/>
      <diagonal/>
    </border>
    <border>
      <left style="thin">
        <color theme="8" tint="0.79998168889431442"/>
      </left>
      <right/>
      <top/>
      <bottom style="thin">
        <color theme="8" tint="0.79998168889431442"/>
      </bottom>
      <diagonal/>
    </border>
    <border>
      <left/>
      <right style="thin">
        <color theme="8" tint="0.79998168889431442"/>
      </right>
      <top/>
      <bottom style="thin">
        <color theme="8" tint="0.79998168889431442"/>
      </bottom>
      <diagonal/>
    </border>
    <border>
      <left style="thin">
        <color theme="8" tint="0.79998168889431442"/>
      </left>
      <right/>
      <top/>
      <bottom/>
      <diagonal/>
    </border>
    <border>
      <left/>
      <right style="thin">
        <color theme="8" tint="0.79998168889431442"/>
      </right>
      <top/>
      <bottom/>
      <diagonal/>
    </border>
    <border>
      <left style="thin">
        <color theme="4" tint="0.59999389629810485"/>
      </left>
      <right style="thin">
        <color theme="4" tint="0.59999389629810485"/>
      </right>
      <top/>
      <bottom/>
      <diagonal/>
    </border>
    <border>
      <left style="thin">
        <color theme="5" tint="-0.249977111117893"/>
      </left>
      <right/>
      <top style="thin">
        <color theme="5" tint="-0.249977111117893"/>
      </top>
      <bottom style="thin">
        <color theme="0"/>
      </bottom>
      <diagonal/>
    </border>
    <border>
      <left/>
      <right/>
      <top style="thin">
        <color theme="5" tint="-0.249977111117893"/>
      </top>
      <bottom style="thin">
        <color theme="0"/>
      </bottom>
      <diagonal/>
    </border>
    <border>
      <left/>
      <right style="thin">
        <color theme="5" tint="-0.249977111117893"/>
      </right>
      <top style="thin">
        <color theme="5" tint="-0.249977111117893"/>
      </top>
      <bottom style="thin">
        <color theme="0"/>
      </bottom>
      <diagonal/>
    </border>
    <border>
      <left style="thin">
        <color theme="0"/>
      </left>
      <right style="thin">
        <color theme="5" tint="-0.249977111117893"/>
      </right>
      <top style="thin">
        <color theme="0"/>
      </top>
      <bottom style="thin">
        <color theme="0"/>
      </bottom>
      <diagonal/>
    </border>
    <border>
      <left style="thin">
        <color theme="0"/>
      </left>
      <right style="thin">
        <color theme="5" tint="-0.249977111117893"/>
      </right>
      <top style="thin">
        <color theme="0"/>
      </top>
      <bottom style="thin">
        <color theme="5" tint="-0.249977111117893"/>
      </bottom>
      <diagonal/>
    </border>
    <border>
      <left style="thin">
        <color theme="0"/>
      </left>
      <right/>
      <top style="thin">
        <color theme="0"/>
      </top>
      <bottom/>
      <diagonal/>
    </border>
    <border>
      <left/>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5" tint="-0.249977111117893"/>
      </left>
      <right/>
      <top style="thin">
        <color theme="0"/>
      </top>
      <bottom/>
      <diagonal/>
    </border>
    <border>
      <left style="thin">
        <color theme="5" tint="-0.249977111117893"/>
      </left>
      <right/>
      <top/>
      <bottom style="thin">
        <color theme="0"/>
      </bottom>
      <diagonal/>
    </border>
    <border>
      <left style="thin">
        <color theme="0"/>
      </left>
      <right style="thin">
        <color theme="0"/>
      </right>
      <top style="thin">
        <color theme="0"/>
      </top>
      <bottom style="thin">
        <color theme="5" tint="-0.249977111117893"/>
      </bottom>
      <diagonal/>
    </border>
    <border>
      <left style="thin">
        <color theme="5" tint="-0.249977111117893"/>
      </left>
      <right/>
      <top style="thin">
        <color theme="5" tint="-0.249977111117893"/>
      </top>
      <bottom/>
      <diagonal/>
    </border>
    <border>
      <left/>
      <right/>
      <top style="thin">
        <color theme="5" tint="-0.249977111117893"/>
      </top>
      <bottom/>
      <diagonal/>
    </border>
    <border>
      <left/>
      <right style="thin">
        <color theme="5" tint="-0.249977111117893"/>
      </right>
      <top style="thin">
        <color theme="5" tint="-0.249977111117893"/>
      </top>
      <bottom/>
      <diagonal/>
    </border>
    <border>
      <left style="thin">
        <color theme="0"/>
      </left>
      <right/>
      <top/>
      <bottom/>
      <diagonal/>
    </border>
    <border>
      <left style="thin">
        <color theme="5" tint="-0.249977111117893"/>
      </left>
      <right style="thin">
        <color theme="0"/>
      </right>
      <top style="thin">
        <color theme="0"/>
      </top>
      <bottom/>
      <diagonal/>
    </border>
    <border>
      <left style="thin">
        <color theme="5" tint="-0.249977111117893"/>
      </left>
      <right style="thin">
        <color theme="0"/>
      </right>
      <top/>
      <bottom style="thin">
        <color theme="0"/>
      </bottom>
      <diagonal/>
    </border>
    <border>
      <left style="thin">
        <color theme="4" tint="-0.249977111117893"/>
      </left>
      <right/>
      <top style="thin">
        <color theme="4" tint="-0.249977111117893"/>
      </top>
      <bottom style="thin">
        <color theme="4" tint="0.59999389629810485"/>
      </bottom>
      <diagonal/>
    </border>
    <border>
      <left/>
      <right/>
      <top style="thin">
        <color theme="4" tint="-0.249977111117893"/>
      </top>
      <bottom style="thin">
        <color theme="4" tint="0.59999389629810485"/>
      </bottom>
      <diagonal/>
    </border>
    <border>
      <left style="thin">
        <color theme="4" tint="-0.249977111117893"/>
      </left>
      <right/>
      <top/>
      <bottom style="thin">
        <color theme="4" tint="0.59999389629810485"/>
      </bottom>
      <diagonal/>
    </border>
    <border>
      <left/>
      <right style="thin">
        <color theme="4" tint="0.59999389629810485"/>
      </right>
      <top style="thin">
        <color theme="4" tint="-0.249977111117893"/>
      </top>
      <bottom style="thin">
        <color theme="4" tint="0.59999389629810485"/>
      </bottom>
      <diagonal/>
    </border>
    <border>
      <left style="thin">
        <color theme="8" tint="0.79995117038483843"/>
      </left>
      <right style="thin">
        <color theme="8" tint="0.79995117038483843"/>
      </right>
      <top style="thin">
        <color theme="8" tint="0.79995117038483843"/>
      </top>
      <bottom style="thin">
        <color theme="8" tint="0.79995117038483843"/>
      </bottom>
      <diagonal/>
    </border>
    <border>
      <left style="thin">
        <color theme="4" tint="-0.249977111117893"/>
      </left>
      <right/>
      <top style="thin">
        <color theme="5" tint="-0.249977111117893"/>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s>
  <cellStyleXfs count="11">
    <xf numFmtId="0" fontId="0" fillId="0" borderId="0"/>
    <xf numFmtId="44" fontId="12" fillId="0" borderId="0" applyFont="0" applyFill="0" applyBorder="0" applyAlignment="0" applyProtection="0"/>
    <xf numFmtId="44" fontId="12" fillId="0" borderId="0" applyFont="0" applyFill="0" applyBorder="0" applyAlignment="0" applyProtection="0"/>
    <xf numFmtId="0" fontId="22" fillId="0" borderId="0" applyNumberForma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12" fillId="0" borderId="0"/>
    <xf numFmtId="0" fontId="8" fillId="0" borderId="0"/>
    <xf numFmtId="0" fontId="8" fillId="0" borderId="0"/>
    <xf numFmtId="0" fontId="8" fillId="0" borderId="0"/>
    <xf numFmtId="9" fontId="12" fillId="0" borderId="0" applyFont="0" applyFill="0" applyBorder="0" applyAlignment="0" applyProtection="0"/>
  </cellStyleXfs>
  <cellXfs count="904">
    <xf numFmtId="0" fontId="0" fillId="0" borderId="0" xfId="0"/>
    <xf numFmtId="0" fontId="0" fillId="0" borderId="0" xfId="0" applyAlignment="1">
      <alignment vertical="center"/>
    </xf>
    <xf numFmtId="0" fontId="0" fillId="0" borderId="0" xfId="0" applyAlignment="1">
      <alignment horizontal="center" vertical="center"/>
    </xf>
    <xf numFmtId="44" fontId="0" fillId="0" borderId="0" xfId="5" applyFont="1" applyAlignment="1">
      <alignment vertical="center"/>
    </xf>
    <xf numFmtId="44" fontId="0" fillId="0" borderId="0" xfId="5" applyFont="1" applyAlignment="1">
      <alignment horizontal="center" vertical="center"/>
    </xf>
    <xf numFmtId="0" fontId="23" fillId="2" borderId="3" xfId="0" applyFont="1" applyFill="1" applyBorder="1" applyAlignment="1">
      <alignment horizontal="center" vertical="center" wrapText="1"/>
    </xf>
    <xf numFmtId="0" fontId="24" fillId="0" borderId="2" xfId="0" applyFont="1" applyBorder="1" applyAlignment="1">
      <alignment vertical="center"/>
    </xf>
    <xf numFmtId="165" fontId="24" fillId="0" borderId="3" xfId="0" applyNumberFormat="1" applyFont="1" applyBorder="1" applyAlignment="1">
      <alignment vertical="center"/>
    </xf>
    <xf numFmtId="0" fontId="24" fillId="0" borderId="3" xfId="0" applyFont="1" applyBorder="1" applyAlignment="1">
      <alignment horizontal="center" vertical="center"/>
    </xf>
    <xf numFmtId="0" fontId="24" fillId="0" borderId="3" xfId="0" applyFont="1" applyBorder="1" applyAlignment="1">
      <alignment vertical="center"/>
    </xf>
    <xf numFmtId="0" fontId="25" fillId="0" borderId="2" xfId="0" applyFont="1" applyBorder="1" applyAlignment="1">
      <alignment vertical="center"/>
    </xf>
    <xf numFmtId="165" fontId="25" fillId="0" borderId="3" xfId="0" applyNumberFormat="1" applyFont="1" applyBorder="1" applyAlignment="1">
      <alignment vertical="center"/>
    </xf>
    <xf numFmtId="0" fontId="24" fillId="0" borderId="0" xfId="0" applyFont="1" applyAlignment="1">
      <alignment vertical="center"/>
    </xf>
    <xf numFmtId="165" fontId="24" fillId="0" borderId="0" xfId="0" applyNumberFormat="1" applyFont="1" applyAlignment="1">
      <alignment vertical="center"/>
    </xf>
    <xf numFmtId="0" fontId="24" fillId="0" borderId="0" xfId="0" applyFont="1" applyAlignment="1">
      <alignment horizontal="center" vertical="center"/>
    </xf>
    <xf numFmtId="0" fontId="25" fillId="0" borderId="0" xfId="0" applyFont="1" applyAlignment="1">
      <alignment vertical="center"/>
    </xf>
    <xf numFmtId="165" fontId="25" fillId="0" borderId="0" xfId="0" applyNumberFormat="1" applyFont="1" applyAlignment="1">
      <alignment vertical="center"/>
    </xf>
    <xf numFmtId="0" fontId="1" fillId="0" borderId="0" xfId="0" applyFont="1"/>
    <xf numFmtId="0" fontId="2" fillId="0" borderId="0" xfId="0" applyFont="1"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0" fontId="1" fillId="3" borderId="0" xfId="0" applyFont="1" applyFill="1"/>
    <xf numFmtId="0" fontId="23" fillId="3" borderId="0" xfId="0" applyFont="1" applyFill="1" applyAlignment="1">
      <alignment horizontal="center" vertical="center" wrapText="1"/>
    </xf>
    <xf numFmtId="0" fontId="23" fillId="2" borderId="4"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0" fillId="3" borderId="0" xfId="0" applyFill="1" applyAlignment="1">
      <alignment horizontal="center" vertical="center" wrapText="1"/>
    </xf>
    <xf numFmtId="0" fontId="1" fillId="3" borderId="0" xfId="0" applyFont="1" applyFill="1" applyAlignment="1">
      <alignment horizontal="center" vertical="center" wrapText="1"/>
    </xf>
    <xf numFmtId="3" fontId="25" fillId="4" borderId="4" xfId="0" applyNumberFormat="1" applyFont="1" applyFill="1" applyBorder="1" applyAlignment="1">
      <alignment horizontal="center" vertical="center"/>
    </xf>
    <xf numFmtId="0" fontId="24" fillId="4" borderId="2" xfId="0" applyFont="1" applyFill="1" applyBorder="1" applyAlignment="1">
      <alignment vertical="center"/>
    </xf>
    <xf numFmtId="165" fontId="24" fillId="4" borderId="3" xfId="0" applyNumberFormat="1" applyFont="1" applyFill="1" applyBorder="1" applyAlignment="1">
      <alignment vertical="center"/>
    </xf>
    <xf numFmtId="0" fontId="24" fillId="4" borderId="3" xfId="0" applyFont="1" applyFill="1" applyBorder="1" applyAlignment="1">
      <alignment horizontal="center" vertical="center"/>
    </xf>
    <xf numFmtId="165" fontId="24" fillId="4" borderId="5" xfId="0" applyNumberFormat="1" applyFont="1" applyFill="1" applyBorder="1" applyAlignment="1">
      <alignment vertical="center"/>
    </xf>
    <xf numFmtId="3" fontId="25" fillId="0" borderId="4" xfId="0" applyNumberFormat="1" applyFont="1" applyBorder="1" applyAlignment="1">
      <alignment horizontal="center" vertical="center"/>
    </xf>
    <xf numFmtId="0" fontId="26" fillId="0" borderId="2" xfId="0" applyFont="1" applyBorder="1" applyAlignment="1">
      <alignment vertical="center"/>
    </xf>
    <xf numFmtId="165" fontId="24" fillId="0" borderId="5" xfId="0" applyNumberFormat="1" applyFont="1" applyBorder="1" applyAlignment="1">
      <alignment vertical="center"/>
    </xf>
    <xf numFmtId="165" fontId="25" fillId="0" borderId="5" xfId="0" applyNumberFormat="1" applyFont="1" applyBorder="1" applyAlignment="1">
      <alignment vertical="center"/>
    </xf>
    <xf numFmtId="3" fontId="25" fillId="0" borderId="6" xfId="0" applyNumberFormat="1" applyFont="1" applyBorder="1" applyAlignment="1">
      <alignment horizontal="center" vertical="center"/>
    </xf>
    <xf numFmtId="165" fontId="24" fillId="0" borderId="7" xfId="0" applyNumberFormat="1" applyFont="1" applyBorder="1" applyAlignment="1">
      <alignment vertical="center"/>
    </xf>
    <xf numFmtId="3" fontId="25" fillId="0" borderId="4" xfId="0" applyNumberFormat="1" applyFont="1" applyBorder="1" applyAlignment="1">
      <alignment vertical="center"/>
    </xf>
    <xf numFmtId="2" fontId="25" fillId="0" borderId="4" xfId="0" applyNumberFormat="1" applyFont="1" applyBorder="1" applyAlignment="1">
      <alignment vertical="center"/>
    </xf>
    <xf numFmtId="0" fontId="1" fillId="0" borderId="0" xfId="0" applyFont="1" applyAlignment="1">
      <alignment horizontal="center"/>
    </xf>
    <xf numFmtId="0" fontId="23" fillId="2" borderId="8" xfId="0" applyFont="1" applyFill="1" applyBorder="1" applyAlignment="1">
      <alignment horizontal="center" vertical="center" wrapText="1"/>
    </xf>
    <xf numFmtId="0" fontId="27" fillId="0" borderId="3" xfId="0" applyFont="1" applyBorder="1" applyAlignment="1">
      <alignment horizontal="center" vertical="center"/>
    </xf>
    <xf numFmtId="0" fontId="28" fillId="0" borderId="2" xfId="0" applyFont="1" applyBorder="1" applyAlignment="1">
      <alignment vertical="center"/>
    </xf>
    <xf numFmtId="0" fontId="2" fillId="0" borderId="0" xfId="0" applyFont="1" applyAlignment="1">
      <alignment horizontal="center" vertical="center" wrapText="1"/>
    </xf>
    <xf numFmtId="0" fontId="30" fillId="5" borderId="3" xfId="0" applyFont="1" applyFill="1" applyBorder="1" applyAlignment="1">
      <alignment horizontal="center" vertical="center"/>
    </xf>
    <xf numFmtId="0" fontId="31" fillId="0" borderId="0" xfId="0" applyFont="1" applyAlignment="1">
      <alignment horizontal="center"/>
    </xf>
    <xf numFmtId="0" fontId="24" fillId="0" borderId="0" xfId="0" applyFont="1" applyAlignment="1">
      <alignment horizontal="center"/>
    </xf>
    <xf numFmtId="0" fontId="24" fillId="0" borderId="0" xfId="0" applyFont="1"/>
    <xf numFmtId="0" fontId="24" fillId="3" borderId="0" xfId="0" applyFont="1" applyFill="1" applyAlignment="1">
      <alignment horizontal="center"/>
    </xf>
    <xf numFmtId="0" fontId="24" fillId="3" borderId="0" xfId="0" applyFont="1" applyFill="1"/>
    <xf numFmtId="0" fontId="24" fillId="0" borderId="3" xfId="0" applyFont="1" applyBorder="1" applyAlignment="1">
      <alignment horizontal="center"/>
    </xf>
    <xf numFmtId="0" fontId="24" fillId="0" borderId="3" xfId="0" applyFont="1" applyBorder="1" applyAlignment="1">
      <alignment horizontal="left"/>
    </xf>
    <xf numFmtId="0" fontId="24" fillId="2" borderId="8" xfId="0" applyFont="1" applyFill="1" applyBorder="1"/>
    <xf numFmtId="0" fontId="24" fillId="2" borderId="9" xfId="0" applyFont="1" applyFill="1" applyBorder="1"/>
    <xf numFmtId="4" fontId="0" fillId="0" borderId="0" xfId="0" applyNumberFormat="1"/>
    <xf numFmtId="0" fontId="24" fillId="0" borderId="4" xfId="0" applyFont="1" applyBorder="1" applyAlignment="1">
      <alignment vertical="center"/>
    </xf>
    <xf numFmtId="165" fontId="24" fillId="0" borderId="3" xfId="0" applyNumberFormat="1" applyFont="1" applyBorder="1" applyAlignment="1">
      <alignment horizontal="center" vertical="center"/>
    </xf>
    <xf numFmtId="4" fontId="25" fillId="0" borderId="3" xfId="0" applyNumberFormat="1" applyFont="1" applyBorder="1" applyAlignment="1">
      <alignment vertical="center"/>
    </xf>
    <xf numFmtId="44" fontId="0" fillId="0" borderId="0" xfId="5" applyFont="1"/>
    <xf numFmtId="4" fontId="25" fillId="0" borderId="3" xfId="0" applyNumberFormat="1" applyFont="1" applyBorder="1" applyAlignment="1">
      <alignment horizontal="right" vertical="center"/>
    </xf>
    <xf numFmtId="0" fontId="24" fillId="0" borderId="3" xfId="0" applyFont="1" applyBorder="1" applyAlignment="1">
      <alignment horizontal="right" vertical="center"/>
    </xf>
    <xf numFmtId="4" fontId="24" fillId="0" borderId="3" xfId="0" applyNumberFormat="1" applyFont="1" applyBorder="1" applyAlignment="1">
      <alignment vertical="center"/>
    </xf>
    <xf numFmtId="4" fontId="24" fillId="0" borderId="2" xfId="0" applyNumberFormat="1" applyFont="1" applyBorder="1" applyAlignment="1">
      <alignment vertical="center"/>
    </xf>
    <xf numFmtId="3" fontId="0" fillId="0" borderId="0" xfId="0" applyNumberFormat="1"/>
    <xf numFmtId="44" fontId="0" fillId="0" borderId="0" xfId="5" applyFont="1" applyBorder="1"/>
    <xf numFmtId="0" fontId="3" fillId="0" borderId="0" xfId="0" applyFont="1"/>
    <xf numFmtId="0" fontId="25" fillId="0" borderId="4" xfId="0" applyFont="1" applyBorder="1" applyAlignment="1">
      <alignment horizontal="center" vertical="center"/>
    </xf>
    <xf numFmtId="165" fontId="25" fillId="0" borderId="3" xfId="0" applyNumberFormat="1" applyFont="1" applyBorder="1" applyAlignment="1">
      <alignment horizontal="center" vertical="center"/>
    </xf>
    <xf numFmtId="0" fontId="24" fillId="0" borderId="2" xfId="0" applyFont="1" applyBorder="1" applyAlignment="1">
      <alignment vertical="center" wrapText="1"/>
    </xf>
    <xf numFmtId="0" fontId="32" fillId="6" borderId="0" xfId="0" applyFont="1" applyFill="1"/>
    <xf numFmtId="0" fontId="33" fillId="6" borderId="0" xfId="0" applyFont="1" applyFill="1"/>
    <xf numFmtId="0" fontId="0" fillId="3" borderId="0" xfId="0" applyFill="1"/>
    <xf numFmtId="3" fontId="27" fillId="0" borderId="3" xfId="0" applyNumberFormat="1" applyFont="1" applyBorder="1" applyAlignment="1">
      <alignment horizontal="center" vertical="center"/>
    </xf>
    <xf numFmtId="0" fontId="4" fillId="0" borderId="0" xfId="0" applyFont="1"/>
    <xf numFmtId="4" fontId="1" fillId="0" borderId="0" xfId="0" applyNumberFormat="1" applyFont="1" applyAlignment="1">
      <alignment horizontal="center"/>
    </xf>
    <xf numFmtId="167" fontId="1" fillId="0" borderId="0" xfId="0" applyNumberFormat="1" applyFont="1" applyAlignment="1">
      <alignment horizontal="center"/>
    </xf>
    <xf numFmtId="0" fontId="34" fillId="3" borderId="0" xfId="0" applyFont="1" applyFill="1" applyAlignment="1">
      <alignment horizontal="left" vertical="center"/>
    </xf>
    <xf numFmtId="0" fontId="24" fillId="3" borderId="0" xfId="0" applyFont="1" applyFill="1" applyAlignment="1">
      <alignment vertical="center"/>
    </xf>
    <xf numFmtId="0" fontId="5" fillId="0" borderId="0" xfId="0" applyFont="1"/>
    <xf numFmtId="0" fontId="6" fillId="0" borderId="0" xfId="0" applyFont="1"/>
    <xf numFmtId="0" fontId="7" fillId="0" borderId="0" xfId="0" applyFont="1" applyAlignment="1">
      <alignment horizontal="right"/>
    </xf>
    <xf numFmtId="0" fontId="7" fillId="0" borderId="0" xfId="0" applyFont="1" applyAlignment="1">
      <alignment horizontal="left"/>
    </xf>
    <xf numFmtId="4" fontId="6" fillId="0" borderId="0" xfId="0" applyNumberFormat="1" applyFont="1" applyAlignment="1">
      <alignment horizontal="center"/>
    </xf>
    <xf numFmtId="0" fontId="29" fillId="0" borderId="0" xfId="0" applyFont="1" applyAlignment="1">
      <alignment horizontal="center" vertical="center"/>
    </xf>
    <xf numFmtId="0" fontId="29" fillId="0" borderId="0" xfId="0" applyFont="1" applyAlignment="1">
      <alignment vertical="center"/>
    </xf>
    <xf numFmtId="0" fontId="23" fillId="2" borderId="3" xfId="0" applyFont="1" applyFill="1" applyBorder="1" applyAlignment="1">
      <alignment vertical="center" wrapText="1"/>
    </xf>
    <xf numFmtId="4" fontId="29" fillId="0" borderId="0" xfId="0" applyNumberFormat="1" applyFont="1" applyAlignment="1">
      <alignment vertical="center"/>
    </xf>
    <xf numFmtId="0" fontId="24" fillId="0" borderId="4" xfId="0" applyFont="1" applyBorder="1" applyAlignment="1">
      <alignment horizontal="center" vertical="center"/>
    </xf>
    <xf numFmtId="0" fontId="24" fillId="0" borderId="3" xfId="0" applyFont="1" applyBorder="1"/>
    <xf numFmtId="9" fontId="24" fillId="0" borderId="8" xfId="0" applyNumberFormat="1" applyFont="1" applyBorder="1"/>
    <xf numFmtId="0" fontId="24" fillId="0" borderId="9" xfId="0" applyFont="1" applyBorder="1"/>
    <xf numFmtId="0" fontId="24" fillId="0" borderId="2" xfId="0" applyFont="1" applyBorder="1"/>
    <xf numFmtId="2" fontId="35" fillId="2" borderId="0" xfId="0" applyNumberFormat="1" applyFont="1" applyFill="1" applyAlignment="1">
      <alignment horizontal="center" vertical="center" wrapText="1"/>
    </xf>
    <xf numFmtId="0" fontId="36" fillId="7" borderId="10" xfId="9" applyFont="1" applyFill="1" applyBorder="1" applyAlignment="1">
      <alignment horizontal="center" vertical="center" wrapText="1"/>
    </xf>
    <xf numFmtId="0" fontId="36" fillId="8" borderId="10" xfId="9" applyFont="1" applyFill="1" applyBorder="1" applyAlignment="1">
      <alignment horizontal="center" vertical="center" wrapText="1"/>
    </xf>
    <xf numFmtId="1" fontId="35" fillId="2" borderId="0" xfId="0" applyNumberFormat="1" applyFont="1" applyFill="1" applyAlignment="1">
      <alignment horizontal="center" vertical="center" wrapText="1"/>
    </xf>
    <xf numFmtId="0" fontId="37" fillId="9" borderId="0" xfId="9" applyFont="1" applyFill="1" applyAlignment="1">
      <alignment horizontal="center" vertical="center" wrapText="1"/>
    </xf>
    <xf numFmtId="0" fontId="38" fillId="10" borderId="10" xfId="9" applyFont="1" applyFill="1" applyBorder="1" applyAlignment="1">
      <alignment horizontal="center" vertical="center" wrapText="1"/>
    </xf>
    <xf numFmtId="0" fontId="39" fillId="9" borderId="10" xfId="9" applyFont="1" applyFill="1" applyBorder="1" applyAlignment="1">
      <alignment horizontal="center" vertical="center" wrapText="1"/>
    </xf>
    <xf numFmtId="0" fontId="32" fillId="0" borderId="0" xfId="6" applyFont="1" applyAlignment="1">
      <alignment horizontal="center"/>
    </xf>
    <xf numFmtId="169" fontId="35" fillId="2" borderId="0" xfId="0" applyNumberFormat="1" applyFont="1" applyFill="1" applyAlignment="1">
      <alignment horizontal="center" vertical="center" wrapText="1"/>
    </xf>
    <xf numFmtId="2" fontId="35" fillId="2" borderId="7" xfId="0" applyNumberFormat="1" applyFont="1" applyFill="1" applyBorder="1" applyAlignment="1">
      <alignment horizontal="center" vertical="center" wrapText="1"/>
    </xf>
    <xf numFmtId="0" fontId="24" fillId="0" borderId="0" xfId="6" applyFont="1" applyAlignment="1">
      <alignment horizontal="left"/>
    </xf>
    <xf numFmtId="0" fontId="24" fillId="0" borderId="0" xfId="6" applyFont="1"/>
    <xf numFmtId="0" fontId="40" fillId="0" borderId="0" xfId="0" applyFont="1"/>
    <xf numFmtId="0" fontId="24" fillId="4" borderId="11" xfId="0" applyFont="1" applyFill="1" applyBorder="1" applyAlignment="1">
      <alignment horizontal="center" vertical="center"/>
    </xf>
    <xf numFmtId="0" fontId="24" fillId="4" borderId="0" xfId="0" applyFont="1" applyFill="1" applyAlignment="1">
      <alignment horizontal="center" vertical="center"/>
    </xf>
    <xf numFmtId="0" fontId="24" fillId="4" borderId="12" xfId="0" applyFont="1" applyFill="1" applyBorder="1" applyAlignment="1">
      <alignment horizontal="center" vertical="center"/>
    </xf>
    <xf numFmtId="0" fontId="24" fillId="0" borderId="11" xfId="0" applyFont="1" applyBorder="1" applyAlignment="1">
      <alignment horizontal="center" vertical="center"/>
    </xf>
    <xf numFmtId="171" fontId="24" fillId="0" borderId="0" xfId="0" applyNumberFormat="1" applyFont="1" applyAlignment="1">
      <alignment horizontal="center" vertical="center"/>
    </xf>
    <xf numFmtId="0" fontId="24" fillId="0" borderId="12" xfId="0" applyFont="1" applyBorder="1" applyAlignment="1">
      <alignment horizontal="center" vertical="center"/>
    </xf>
    <xf numFmtId="2" fontId="24" fillId="4" borderId="0" xfId="0" applyNumberFormat="1" applyFont="1" applyFill="1" applyAlignment="1">
      <alignment horizontal="center" vertical="center"/>
    </xf>
    <xf numFmtId="2" fontId="24" fillId="0" borderId="0" xfId="0" applyNumberFormat="1" applyFont="1" applyAlignment="1">
      <alignment horizontal="center" vertical="center"/>
    </xf>
    <xf numFmtId="0" fontId="24" fillId="0" borderId="13" xfId="0" applyFont="1" applyBorder="1" applyAlignment="1">
      <alignment horizontal="center" vertical="center"/>
    </xf>
    <xf numFmtId="2" fontId="24" fillId="0" borderId="14" xfId="0" applyNumberFormat="1" applyFont="1" applyBorder="1" applyAlignment="1">
      <alignment horizontal="center" vertical="center"/>
    </xf>
    <xf numFmtId="0" fontId="24" fillId="0" borderId="15" xfId="0" applyFont="1" applyBorder="1" applyAlignment="1">
      <alignment horizontal="center" vertical="center"/>
    </xf>
    <xf numFmtId="0" fontId="32" fillId="0" borderId="0" xfId="0" applyFont="1" applyAlignment="1">
      <alignment horizontal="center"/>
    </xf>
    <xf numFmtId="0" fontId="27" fillId="4" borderId="16" xfId="0" applyFont="1" applyFill="1" applyBorder="1" applyAlignment="1">
      <alignment horizontal="center"/>
    </xf>
    <xf numFmtId="0" fontId="27" fillId="0" borderId="11" xfId="0" applyFont="1" applyBorder="1" applyAlignment="1">
      <alignment horizontal="center"/>
    </xf>
    <xf numFmtId="0" fontId="24" fillId="0" borderId="11" xfId="0" applyFont="1" applyBorder="1" applyAlignment="1">
      <alignment horizontal="center"/>
    </xf>
    <xf numFmtId="0" fontId="24" fillId="0" borderId="12" xfId="0" applyFont="1" applyBorder="1" applyAlignment="1">
      <alignment horizontal="center"/>
    </xf>
    <xf numFmtId="0" fontId="27" fillId="4" borderId="11" xfId="0" applyFont="1" applyFill="1" applyBorder="1" applyAlignment="1">
      <alignment horizontal="center"/>
    </xf>
    <xf numFmtId="0" fontId="24" fillId="4" borderId="11" xfId="0" applyFont="1" applyFill="1" applyBorder="1" applyAlignment="1">
      <alignment horizontal="center"/>
    </xf>
    <xf numFmtId="0" fontId="24" fillId="4" borderId="0" xfId="0" applyFont="1" applyFill="1" applyAlignment="1">
      <alignment horizontal="center"/>
    </xf>
    <xf numFmtId="0" fontId="24" fillId="4" borderId="12" xfId="0" applyFont="1" applyFill="1" applyBorder="1" applyAlignment="1">
      <alignment horizontal="center"/>
    </xf>
    <xf numFmtId="0" fontId="24" fillId="0" borderId="13" xfId="0" applyFont="1" applyBorder="1" applyAlignment="1">
      <alignment horizontal="center"/>
    </xf>
    <xf numFmtId="0" fontId="24" fillId="0" borderId="14" xfId="0" applyFont="1" applyBorder="1" applyAlignment="1">
      <alignment horizontal="center"/>
    </xf>
    <xf numFmtId="0" fontId="24" fillId="0" borderId="15" xfId="0" applyFont="1" applyBorder="1" applyAlignment="1">
      <alignment horizontal="center"/>
    </xf>
    <xf numFmtId="0" fontId="24" fillId="0" borderId="16" xfId="0" applyFont="1" applyBorder="1" applyAlignment="1">
      <alignment horizontal="center"/>
    </xf>
    <xf numFmtId="0" fontId="24" fillId="0" borderId="17" xfId="0" applyFont="1" applyBorder="1" applyAlignment="1">
      <alignment horizontal="center"/>
    </xf>
    <xf numFmtId="0" fontId="24" fillId="0" borderId="18" xfId="0" applyFont="1" applyBorder="1" applyAlignment="1">
      <alignment horizontal="center"/>
    </xf>
    <xf numFmtId="168" fontId="24" fillId="4" borderId="0" xfId="0" applyNumberFormat="1" applyFont="1" applyFill="1" applyAlignment="1">
      <alignment horizontal="center"/>
    </xf>
    <xf numFmtId="168" fontId="24" fillId="4" borderId="12" xfId="0" applyNumberFormat="1" applyFont="1" applyFill="1" applyBorder="1" applyAlignment="1">
      <alignment horizontal="center"/>
    </xf>
    <xf numFmtId="168" fontId="24" fillId="0" borderId="0" xfId="0" applyNumberFormat="1" applyFont="1" applyAlignment="1">
      <alignment horizontal="center"/>
    </xf>
    <xf numFmtId="168" fontId="24" fillId="0" borderId="12" xfId="0" applyNumberFormat="1" applyFont="1" applyBorder="1" applyAlignment="1">
      <alignment horizontal="center"/>
    </xf>
    <xf numFmtId="0" fontId="24" fillId="4" borderId="13" xfId="0" applyFont="1" applyFill="1" applyBorder="1" applyAlignment="1">
      <alignment horizontal="center"/>
    </xf>
    <xf numFmtId="0" fontId="24" fillId="4" borderId="14" xfId="0" applyFont="1" applyFill="1" applyBorder="1" applyAlignment="1">
      <alignment horizontal="center"/>
    </xf>
    <xf numFmtId="168" fontId="24" fillId="4" borderId="14" xfId="0" applyNumberFormat="1" applyFont="1" applyFill="1" applyBorder="1" applyAlignment="1">
      <alignment horizontal="center"/>
    </xf>
    <xf numFmtId="168" fontId="24" fillId="4" borderId="15" xfId="0" applyNumberFormat="1" applyFont="1" applyFill="1" applyBorder="1" applyAlignment="1">
      <alignment horizontal="center"/>
    </xf>
    <xf numFmtId="0" fontId="32" fillId="0" borderId="0" xfId="0" applyFont="1"/>
    <xf numFmtId="2" fontId="25" fillId="4" borderId="18" xfId="0" applyNumberFormat="1" applyFont="1" applyFill="1" applyBorder="1" applyAlignment="1">
      <alignment horizontal="center"/>
    </xf>
    <xf numFmtId="0" fontId="36" fillId="0" borderId="0" xfId="0" applyFont="1" applyAlignment="1">
      <alignment horizontal="right"/>
    </xf>
    <xf numFmtId="2" fontId="25" fillId="0" borderId="12" xfId="0" applyNumberFormat="1" applyFont="1" applyBorder="1" applyAlignment="1">
      <alignment horizontal="center"/>
    </xf>
    <xf numFmtId="0" fontId="26" fillId="0" borderId="0" xfId="0" applyFont="1"/>
    <xf numFmtId="0" fontId="36" fillId="4" borderId="0" xfId="0" applyFont="1" applyFill="1" applyAlignment="1">
      <alignment horizontal="right"/>
    </xf>
    <xf numFmtId="2" fontId="25" fillId="4" borderId="12" xfId="0" applyNumberFormat="1" applyFont="1" applyFill="1" applyBorder="1" applyAlignment="1">
      <alignment horizontal="center"/>
    </xf>
    <xf numFmtId="0" fontId="24" fillId="0" borderId="0" xfId="0" applyFont="1" applyAlignment="1">
      <alignment horizontal="left"/>
    </xf>
    <xf numFmtId="0" fontId="38" fillId="3" borderId="0" xfId="0" applyFont="1" applyFill="1" applyAlignment="1">
      <alignment horizontal="center"/>
    </xf>
    <xf numFmtId="0" fontId="24" fillId="2" borderId="0" xfId="0" applyFont="1" applyFill="1" applyAlignment="1">
      <alignment horizontal="center"/>
    </xf>
    <xf numFmtId="1" fontId="41" fillId="2" borderId="0" xfId="0" applyNumberFormat="1" applyFont="1" applyFill="1" applyAlignment="1">
      <alignment horizontal="center" vertical="center" wrapText="1"/>
    </xf>
    <xf numFmtId="14" fontId="24" fillId="0" borderId="3" xfId="0" applyNumberFormat="1" applyFont="1" applyBorder="1" applyAlignment="1">
      <alignment horizontal="center"/>
    </xf>
    <xf numFmtId="1" fontId="24" fillId="0" borderId="0" xfId="0" applyNumberFormat="1" applyFont="1" applyAlignment="1">
      <alignment horizontal="center"/>
    </xf>
    <xf numFmtId="1" fontId="24" fillId="0" borderId="0" xfId="0" applyNumberFormat="1" applyFont="1"/>
    <xf numFmtId="0" fontId="24" fillId="5" borderId="0" xfId="0" applyFont="1" applyFill="1" applyAlignment="1">
      <alignment horizontal="center"/>
    </xf>
    <xf numFmtId="0" fontId="24" fillId="5" borderId="10" xfId="0" applyFont="1" applyFill="1" applyBorder="1" applyAlignment="1">
      <alignment horizontal="center" vertical="center"/>
    </xf>
    <xf numFmtId="165" fontId="35" fillId="2" borderId="0" xfId="0" applyNumberFormat="1" applyFont="1" applyFill="1" applyAlignment="1">
      <alignment horizontal="center" vertical="center" wrapText="1"/>
    </xf>
    <xf numFmtId="165" fontId="24" fillId="0" borderId="0" xfId="0" applyNumberFormat="1" applyFont="1"/>
    <xf numFmtId="2" fontId="24" fillId="0" borderId="0" xfId="0" applyNumberFormat="1" applyFont="1"/>
    <xf numFmtId="0" fontId="25" fillId="0" borderId="0" xfId="0" applyFont="1" applyAlignment="1">
      <alignment horizontal="center"/>
    </xf>
    <xf numFmtId="9" fontId="24" fillId="0" borderId="0" xfId="0" applyNumberFormat="1" applyFont="1" applyAlignment="1">
      <alignment horizontal="center"/>
    </xf>
    <xf numFmtId="8" fontId="24" fillId="0" borderId="0" xfId="0" applyNumberFormat="1" applyFont="1" applyAlignment="1">
      <alignment horizontal="center"/>
    </xf>
    <xf numFmtId="0" fontId="25" fillId="5" borderId="0" xfId="0" applyFont="1" applyFill="1" applyAlignment="1">
      <alignment horizontal="center"/>
    </xf>
    <xf numFmtId="4" fontId="24" fillId="5" borderId="0" xfId="0" applyNumberFormat="1" applyFont="1" applyFill="1" applyAlignment="1">
      <alignment horizontal="center"/>
    </xf>
    <xf numFmtId="2" fontId="24" fillId="5" borderId="0" xfId="0" applyNumberFormat="1" applyFont="1" applyFill="1" applyAlignment="1">
      <alignment horizontal="center"/>
    </xf>
    <xf numFmtId="10" fontId="24" fillId="0" borderId="0" xfId="0" applyNumberFormat="1" applyFont="1" applyAlignment="1">
      <alignment horizontal="center"/>
    </xf>
    <xf numFmtId="164" fontId="24" fillId="0" borderId="0" xfId="4" applyFont="1" applyBorder="1"/>
    <xf numFmtId="10" fontId="24" fillId="5" borderId="0" xfId="0" applyNumberFormat="1" applyFont="1" applyFill="1" applyAlignment="1">
      <alignment horizontal="center"/>
    </xf>
    <xf numFmtId="8" fontId="24" fillId="5" borderId="0" xfId="4" applyNumberFormat="1" applyFont="1" applyFill="1" applyBorder="1"/>
    <xf numFmtId="44" fontId="24" fillId="5" borderId="0" xfId="4" applyNumberFormat="1" applyFont="1" applyFill="1" applyBorder="1"/>
    <xf numFmtId="1" fontId="24" fillId="0" borderId="3" xfId="0" applyNumberFormat="1" applyFont="1" applyBorder="1" applyAlignment="1">
      <alignment horizontal="center"/>
    </xf>
    <xf numFmtId="9" fontId="24" fillId="0" borderId="3" xfId="0" applyNumberFormat="1" applyFont="1" applyBorder="1" applyAlignment="1">
      <alignment horizontal="center"/>
    </xf>
    <xf numFmtId="8" fontId="24" fillId="0" borderId="3" xfId="0" applyNumberFormat="1" applyFont="1" applyBorder="1" applyAlignment="1">
      <alignment horizontal="center"/>
    </xf>
    <xf numFmtId="10" fontId="24" fillId="0" borderId="3" xfId="0" applyNumberFormat="1" applyFont="1" applyBorder="1" applyAlignment="1">
      <alignment horizontal="center"/>
    </xf>
    <xf numFmtId="0" fontId="42" fillId="0" borderId="0" xfId="0" applyFont="1" applyAlignment="1">
      <alignment vertical="center"/>
    </xf>
    <xf numFmtId="0" fontId="38" fillId="0" borderId="0" xfId="0" applyFont="1" applyAlignment="1">
      <alignment horizontal="center" vertical="center"/>
    </xf>
    <xf numFmtId="0" fontId="40" fillId="0" borderId="0" xfId="0" applyFont="1" applyAlignment="1">
      <alignment horizontal="left" vertical="center"/>
    </xf>
    <xf numFmtId="0" fontId="24" fillId="2" borderId="0" xfId="0" applyFont="1" applyFill="1" applyAlignment="1">
      <alignment vertical="center"/>
    </xf>
    <xf numFmtId="0" fontId="24" fillId="4" borderId="19" xfId="0" applyFont="1" applyFill="1" applyBorder="1" applyAlignment="1">
      <alignment vertical="center"/>
    </xf>
    <xf numFmtId="8" fontId="24" fillId="4" borderId="19" xfId="0" applyNumberFormat="1" applyFont="1" applyFill="1" applyBorder="1" applyAlignment="1">
      <alignment vertical="center"/>
    </xf>
    <xf numFmtId="8" fontId="24" fillId="4" borderId="20" xfId="0" applyNumberFormat="1" applyFont="1" applyFill="1" applyBorder="1" applyAlignment="1">
      <alignment vertical="center"/>
    </xf>
    <xf numFmtId="8" fontId="24" fillId="0" borderId="0" xfId="0" applyNumberFormat="1" applyFont="1" applyAlignment="1">
      <alignment vertical="center"/>
    </xf>
    <xf numFmtId="8" fontId="24" fillId="3" borderId="0" xfId="0" applyNumberFormat="1" applyFont="1" applyFill="1" applyAlignment="1">
      <alignment vertical="center"/>
    </xf>
    <xf numFmtId="8" fontId="24" fillId="3" borderId="21" xfId="0" applyNumberFormat="1" applyFont="1" applyFill="1" applyBorder="1" applyAlignment="1">
      <alignment vertical="center"/>
    </xf>
    <xf numFmtId="0" fontId="24" fillId="4" borderId="0" xfId="0" applyFont="1" applyFill="1" applyAlignment="1">
      <alignment vertical="center"/>
    </xf>
    <xf numFmtId="8" fontId="24" fillId="4" borderId="0" xfId="0" applyNumberFormat="1" applyFont="1" applyFill="1" applyAlignment="1">
      <alignment vertical="center"/>
    </xf>
    <xf numFmtId="8" fontId="24" fillId="4" borderId="21" xfId="0" applyNumberFormat="1" applyFont="1" applyFill="1" applyBorder="1" applyAlignment="1">
      <alignment vertical="center"/>
    </xf>
    <xf numFmtId="0" fontId="24" fillId="3" borderId="22" xfId="0" applyFont="1" applyFill="1" applyBorder="1" applyAlignment="1">
      <alignment vertical="center"/>
    </xf>
    <xf numFmtId="8" fontId="24" fillId="3" borderId="22" xfId="0" applyNumberFormat="1" applyFont="1" applyFill="1" applyBorder="1" applyAlignment="1">
      <alignment vertical="center"/>
    </xf>
    <xf numFmtId="8" fontId="24" fillId="3" borderId="23" xfId="0" applyNumberFormat="1" applyFont="1" applyFill="1" applyBorder="1" applyAlignment="1">
      <alignment vertical="center"/>
    </xf>
    <xf numFmtId="0" fontId="24" fillId="4" borderId="22" xfId="0" applyFont="1" applyFill="1" applyBorder="1" applyAlignment="1">
      <alignment vertical="center"/>
    </xf>
    <xf numFmtId="8" fontId="24" fillId="4" borderId="22" xfId="0" applyNumberFormat="1" applyFont="1" applyFill="1" applyBorder="1" applyAlignment="1">
      <alignment vertical="center"/>
    </xf>
    <xf numFmtId="8" fontId="24" fillId="4" borderId="23" xfId="0" applyNumberFormat="1" applyFont="1" applyFill="1" applyBorder="1" applyAlignment="1">
      <alignment vertical="center"/>
    </xf>
    <xf numFmtId="0" fontId="24" fillId="5" borderId="0" xfId="0" applyFont="1" applyFill="1" applyAlignment="1">
      <alignment vertical="center"/>
    </xf>
    <xf numFmtId="2" fontId="24" fillId="4" borderId="0" xfId="0" applyNumberFormat="1" applyFont="1" applyFill="1" applyAlignment="1">
      <alignment vertical="center"/>
    </xf>
    <xf numFmtId="2" fontId="24" fillId="0" borderId="0" xfId="0" applyNumberFormat="1" applyFont="1" applyAlignment="1">
      <alignment vertical="center"/>
    </xf>
    <xf numFmtId="14" fontId="32" fillId="0" borderId="1" xfId="0" applyNumberFormat="1" applyFont="1" applyBorder="1" applyAlignment="1">
      <alignment horizontal="center" vertical="center"/>
    </xf>
    <xf numFmtId="14" fontId="32" fillId="0" borderId="0" xfId="0" applyNumberFormat="1" applyFont="1" applyAlignment="1">
      <alignment horizontal="center" vertical="center"/>
    </xf>
    <xf numFmtId="0" fontId="24" fillId="0" borderId="0" xfId="0" applyFont="1" applyAlignment="1">
      <alignment horizontal="center" vertical="center" wrapText="1"/>
    </xf>
    <xf numFmtId="44" fontId="24" fillId="0" borderId="0" xfId="5" applyFont="1" applyAlignment="1">
      <alignment vertical="center"/>
    </xf>
    <xf numFmtId="4" fontId="24" fillId="0" borderId="0" xfId="0" applyNumberFormat="1" applyFont="1" applyAlignment="1">
      <alignment horizontal="center" vertical="center"/>
    </xf>
    <xf numFmtId="4" fontId="43" fillId="0" borderId="0" xfId="0" applyNumberFormat="1" applyFont="1" applyAlignment="1">
      <alignment horizontal="center" vertical="center"/>
    </xf>
    <xf numFmtId="3" fontId="24" fillId="0" borderId="0" xfId="0" applyNumberFormat="1" applyFont="1" applyAlignment="1">
      <alignment horizontal="center" vertical="center"/>
    </xf>
    <xf numFmtId="4" fontId="24" fillId="4" borderId="3" xfId="0" applyNumberFormat="1" applyFont="1" applyFill="1" applyBorder="1" applyAlignment="1">
      <alignment horizontal="center" vertical="center"/>
    </xf>
    <xf numFmtId="4" fontId="24" fillId="0" borderId="3" xfId="0" applyNumberFormat="1" applyFont="1" applyBorder="1" applyAlignment="1">
      <alignment horizontal="center" vertical="center"/>
    </xf>
    <xf numFmtId="4" fontId="24" fillId="3" borderId="3" xfId="0" applyNumberFormat="1" applyFont="1" applyFill="1" applyBorder="1" applyAlignment="1">
      <alignment horizontal="center" vertical="center"/>
    </xf>
    <xf numFmtId="0" fontId="32" fillId="0" borderId="0" xfId="0" applyFont="1" applyAlignment="1">
      <alignment horizontal="center" vertical="center"/>
    </xf>
    <xf numFmtId="0" fontId="24" fillId="4" borderId="0" xfId="0" applyFont="1" applyFill="1" applyAlignment="1">
      <alignment horizontal="center" vertical="center" wrapText="1"/>
    </xf>
    <xf numFmtId="10" fontId="25" fillId="11" borderId="0" xfId="10" applyNumberFormat="1" applyFont="1" applyFill="1" applyBorder="1" applyAlignment="1">
      <alignment horizontal="center" vertical="center" wrapText="1"/>
    </xf>
    <xf numFmtId="44" fontId="24" fillId="4" borderId="0" xfId="5" applyFont="1" applyFill="1" applyAlignment="1">
      <alignment vertical="center"/>
    </xf>
    <xf numFmtId="4" fontId="24" fillId="4" borderId="0" xfId="0" applyNumberFormat="1" applyFont="1" applyFill="1" applyAlignment="1">
      <alignment horizontal="center" vertical="center"/>
    </xf>
    <xf numFmtId="3" fontId="24" fillId="4" borderId="0" xfId="0" applyNumberFormat="1" applyFont="1" applyFill="1" applyAlignment="1">
      <alignment horizontal="center" vertical="center"/>
    </xf>
    <xf numFmtId="2" fontId="24" fillId="4" borderId="3" xfId="0" applyNumberFormat="1" applyFont="1" applyFill="1" applyBorder="1" applyAlignment="1">
      <alignment horizontal="center" vertical="center"/>
    </xf>
    <xf numFmtId="2" fontId="24" fillId="0" borderId="3" xfId="0" applyNumberFormat="1" applyFont="1" applyBorder="1" applyAlignment="1">
      <alignment horizontal="center" vertical="center"/>
    </xf>
    <xf numFmtId="0" fontId="24" fillId="12" borderId="0" xfId="0" applyFont="1" applyFill="1" applyAlignment="1">
      <alignment vertical="center"/>
    </xf>
    <xf numFmtId="0" fontId="44" fillId="0" borderId="0" xfId="0" applyFont="1"/>
    <xf numFmtId="10" fontId="24" fillId="4" borderId="0" xfId="10" applyNumberFormat="1" applyFont="1" applyFill="1" applyAlignment="1">
      <alignment horizontal="center" vertical="center"/>
    </xf>
    <xf numFmtId="0" fontId="24" fillId="5" borderId="3" xfId="0" applyFont="1" applyFill="1" applyBorder="1" applyAlignment="1">
      <alignment horizontal="center" vertical="center"/>
    </xf>
    <xf numFmtId="0" fontId="24" fillId="5" borderId="24" xfId="0" applyFont="1" applyFill="1" applyBorder="1" applyAlignment="1">
      <alignment vertical="center"/>
    </xf>
    <xf numFmtId="0" fontId="24" fillId="5" borderId="3" xfId="0" applyFont="1" applyFill="1" applyBorder="1" applyAlignment="1">
      <alignment horizontal="center"/>
    </xf>
    <xf numFmtId="0" fontId="24" fillId="4" borderId="2" xfId="0" applyFont="1" applyFill="1" applyBorder="1" applyAlignment="1">
      <alignment horizontal="left"/>
    </xf>
    <xf numFmtId="0" fontId="24" fillId="3" borderId="2" xfId="0" applyFont="1" applyFill="1" applyBorder="1" applyAlignment="1">
      <alignment horizontal="left"/>
    </xf>
    <xf numFmtId="0" fontId="24" fillId="5" borderId="2" xfId="0" applyFont="1" applyFill="1" applyBorder="1" applyAlignment="1">
      <alignment horizontal="left"/>
    </xf>
    <xf numFmtId="0" fontId="24" fillId="5" borderId="8" xfId="0" applyFont="1" applyFill="1" applyBorder="1" applyAlignment="1">
      <alignment horizontal="center"/>
    </xf>
    <xf numFmtId="0" fontId="24" fillId="5" borderId="9" xfId="0" applyFont="1" applyFill="1" applyBorder="1" applyAlignment="1">
      <alignment horizontal="center"/>
    </xf>
    <xf numFmtId="165" fontId="24" fillId="5" borderId="9" xfId="0" applyNumberFormat="1" applyFont="1" applyFill="1" applyBorder="1" applyAlignment="1">
      <alignment horizontal="center"/>
    </xf>
    <xf numFmtId="0" fontId="45" fillId="6" borderId="0" xfId="0" applyFont="1" applyFill="1"/>
    <xf numFmtId="0" fontId="24" fillId="3" borderId="0" xfId="0" applyFont="1" applyFill="1" applyAlignment="1">
      <alignment horizontal="left"/>
    </xf>
    <xf numFmtId="0" fontId="24" fillId="5" borderId="3" xfId="0" applyFont="1" applyFill="1" applyBorder="1" applyAlignment="1">
      <alignment horizontal="left"/>
    </xf>
    <xf numFmtId="0" fontId="25" fillId="0" borderId="3" xfId="0" applyFont="1" applyBorder="1" applyAlignment="1">
      <alignment horizontal="center"/>
    </xf>
    <xf numFmtId="0" fontId="24" fillId="5" borderId="3" xfId="0" applyFont="1" applyFill="1" applyBorder="1"/>
    <xf numFmtId="0" fontId="24" fillId="5" borderId="8" xfId="0" applyFont="1" applyFill="1" applyBorder="1"/>
    <xf numFmtId="4" fontId="24" fillId="5" borderId="8" xfId="0" applyNumberFormat="1" applyFont="1" applyFill="1" applyBorder="1"/>
    <xf numFmtId="4" fontId="24" fillId="5" borderId="9" xfId="0" applyNumberFormat="1" applyFont="1" applyFill="1" applyBorder="1"/>
    <xf numFmtId="4" fontId="24" fillId="5" borderId="2" xfId="0" applyNumberFormat="1" applyFont="1" applyFill="1" applyBorder="1"/>
    <xf numFmtId="0" fontId="32" fillId="2" borderId="8" xfId="0" applyFont="1" applyFill="1" applyBorder="1"/>
    <xf numFmtId="0" fontId="32" fillId="2" borderId="9" xfId="0" applyFont="1" applyFill="1" applyBorder="1"/>
    <xf numFmtId="0" fontId="38" fillId="0" borderId="0" xfId="0" applyFont="1"/>
    <xf numFmtId="0" fontId="43" fillId="0" borderId="0" xfId="0" applyFont="1" applyAlignment="1">
      <alignment horizontal="center"/>
    </xf>
    <xf numFmtId="0" fontId="43" fillId="0" borderId="8" xfId="0" applyFont="1" applyBorder="1" applyAlignment="1">
      <alignment horizontal="center"/>
    </xf>
    <xf numFmtId="0" fontId="35" fillId="0" borderId="0" xfId="0" applyFont="1" applyAlignment="1">
      <alignment horizontal="center"/>
    </xf>
    <xf numFmtId="0" fontId="24" fillId="13" borderId="0" xfId="0" applyFont="1" applyFill="1"/>
    <xf numFmtId="0" fontId="38" fillId="13" borderId="0" xfId="0" applyFont="1" applyFill="1" applyAlignment="1">
      <alignment horizontal="center"/>
    </xf>
    <xf numFmtId="0" fontId="24" fillId="13" borderId="9" xfId="0" applyFont="1" applyFill="1" applyBorder="1"/>
    <xf numFmtId="0" fontId="38" fillId="13" borderId="25" xfId="0" applyFont="1" applyFill="1" applyBorder="1" applyAlignment="1">
      <alignment vertical="center" wrapText="1"/>
    </xf>
    <xf numFmtId="0" fontId="38" fillId="13" borderId="19" xfId="0" applyFont="1" applyFill="1" applyBorder="1" applyAlignment="1">
      <alignment vertical="center" wrapText="1"/>
    </xf>
    <xf numFmtId="0" fontId="38" fillId="13" borderId="20" xfId="0" applyFont="1" applyFill="1" applyBorder="1" applyAlignment="1">
      <alignment vertical="center" wrapText="1"/>
    </xf>
    <xf numFmtId="0" fontId="38" fillId="13" borderId="3" xfId="0" applyFont="1" applyFill="1" applyBorder="1" applyAlignment="1">
      <alignment horizontal="center" vertical="center" wrapText="1"/>
    </xf>
    <xf numFmtId="0" fontId="38" fillId="13" borderId="3" xfId="0" applyFont="1" applyFill="1" applyBorder="1" applyAlignment="1">
      <alignment horizontal="center" vertical="center"/>
    </xf>
    <xf numFmtId="0" fontId="24" fillId="13" borderId="0" xfId="0" applyFont="1" applyFill="1" applyAlignment="1">
      <alignment horizontal="center"/>
    </xf>
    <xf numFmtId="0" fontId="38" fillId="13" borderId="3" xfId="0" applyFont="1" applyFill="1" applyBorder="1" applyAlignment="1">
      <alignment horizontal="center" vertical="center" textRotation="90" wrapText="1"/>
    </xf>
    <xf numFmtId="0" fontId="38" fillId="13" borderId="0" xfId="0" applyFont="1" applyFill="1" applyAlignment="1">
      <alignment horizontal="right"/>
    </xf>
    <xf numFmtId="4" fontId="38" fillId="13" borderId="0" xfId="0" applyNumberFormat="1" applyFont="1" applyFill="1" applyAlignment="1">
      <alignment horizontal="center"/>
    </xf>
    <xf numFmtId="165" fontId="38" fillId="13" borderId="0" xfId="0" applyNumberFormat="1" applyFont="1" applyFill="1" applyAlignment="1">
      <alignment horizontal="center"/>
    </xf>
    <xf numFmtId="0" fontId="35" fillId="13" borderId="3" xfId="0" applyFont="1" applyFill="1" applyBorder="1" applyAlignment="1">
      <alignment horizontal="center" vertical="center" textRotation="90" wrapText="1"/>
    </xf>
    <xf numFmtId="0" fontId="38" fillId="13" borderId="0" xfId="0" applyFont="1" applyFill="1" applyAlignment="1">
      <alignment horizontal="center" vertical="center" textRotation="90" wrapText="1"/>
    </xf>
    <xf numFmtId="0" fontId="36" fillId="14" borderId="11" xfId="0" applyFont="1" applyFill="1" applyBorder="1" applyAlignment="1">
      <alignment horizontal="center" vertical="center"/>
    </xf>
    <xf numFmtId="0" fontId="36" fillId="14" borderId="0" xfId="0" applyFont="1" applyFill="1" applyAlignment="1">
      <alignment horizontal="center" vertical="center"/>
    </xf>
    <xf numFmtId="0" fontId="36" fillId="14" borderId="12" xfId="0" applyFont="1" applyFill="1" applyBorder="1" applyAlignment="1">
      <alignment horizontal="center" vertical="center"/>
    </xf>
    <xf numFmtId="0" fontId="24" fillId="14" borderId="16" xfId="0" applyFont="1" applyFill="1" applyBorder="1" applyAlignment="1">
      <alignment horizontal="center"/>
    </xf>
    <xf numFmtId="0" fontId="32" fillId="14" borderId="11" xfId="0" applyFont="1" applyFill="1" applyBorder="1" applyAlignment="1">
      <alignment horizontal="center"/>
    </xf>
    <xf numFmtId="0" fontId="24" fillId="14" borderId="13" xfId="0" applyFont="1" applyFill="1" applyBorder="1" applyAlignment="1">
      <alignment horizontal="center"/>
    </xf>
    <xf numFmtId="0" fontId="36" fillId="14" borderId="14" xfId="0" applyFont="1" applyFill="1" applyBorder="1" applyAlignment="1">
      <alignment horizontal="center" vertical="center"/>
    </xf>
    <xf numFmtId="0" fontId="36" fillId="14" borderId="15" xfId="0" applyFont="1" applyFill="1" applyBorder="1" applyAlignment="1">
      <alignment horizontal="center" vertical="center"/>
    </xf>
    <xf numFmtId="0" fontId="34" fillId="14" borderId="6" xfId="0" applyFont="1" applyFill="1" applyBorder="1" applyAlignment="1">
      <alignment horizontal="center" vertical="center"/>
    </xf>
    <xf numFmtId="0" fontId="34" fillId="14" borderId="0" xfId="0" applyFont="1" applyFill="1" applyAlignment="1">
      <alignment horizontal="left" vertical="center"/>
    </xf>
    <xf numFmtId="4" fontId="31" fillId="14" borderId="0" xfId="0" applyNumberFormat="1" applyFont="1" applyFill="1" applyAlignment="1">
      <alignment vertical="center"/>
    </xf>
    <xf numFmtId="0" fontId="31" fillId="14" borderId="0" xfId="0" applyFont="1" applyFill="1" applyAlignment="1">
      <alignment horizontal="center" vertical="center"/>
    </xf>
    <xf numFmtId="4" fontId="31" fillId="14" borderId="7" xfId="0" applyNumberFormat="1" applyFont="1" applyFill="1" applyBorder="1" applyAlignment="1">
      <alignment vertical="center"/>
    </xf>
    <xf numFmtId="165" fontId="31" fillId="14" borderId="7" xfId="0" applyNumberFormat="1" applyFont="1" applyFill="1" applyBorder="1" applyAlignment="1">
      <alignment vertical="center"/>
    </xf>
    <xf numFmtId="0" fontId="24" fillId="13" borderId="26" xfId="0" applyFont="1" applyFill="1" applyBorder="1" applyAlignment="1">
      <alignment horizontal="center" vertical="center"/>
    </xf>
    <xf numFmtId="0" fontId="24" fillId="13" borderId="27" xfId="0" applyFont="1" applyFill="1" applyBorder="1" applyAlignment="1">
      <alignment vertical="center"/>
    </xf>
    <xf numFmtId="0" fontId="24" fillId="13" borderId="27" xfId="0" applyFont="1" applyFill="1" applyBorder="1" applyAlignment="1">
      <alignment horizontal="center" vertical="center"/>
    </xf>
    <xf numFmtId="165" fontId="23" fillId="13" borderId="28" xfId="0" applyNumberFormat="1" applyFont="1" applyFill="1" applyBorder="1" applyAlignment="1">
      <alignment vertical="center"/>
    </xf>
    <xf numFmtId="0" fontId="34" fillId="14" borderId="0" xfId="0" applyFont="1" applyFill="1" applyAlignment="1">
      <alignment horizontal="center" vertical="center"/>
    </xf>
    <xf numFmtId="0" fontId="34" fillId="14" borderId="6" xfId="0" applyFont="1" applyFill="1" applyBorder="1" applyAlignment="1">
      <alignment horizontal="left" vertical="center"/>
    </xf>
    <xf numFmtId="0" fontId="35" fillId="14" borderId="0" xfId="0" applyFont="1" applyFill="1" applyAlignment="1">
      <alignment horizontal="center" vertical="center"/>
    </xf>
    <xf numFmtId="0" fontId="34" fillId="14" borderId="7" xfId="0" applyFont="1" applyFill="1" applyBorder="1" applyAlignment="1">
      <alignment horizontal="left" vertical="center"/>
    </xf>
    <xf numFmtId="165" fontId="34" fillId="14" borderId="0" xfId="0" applyNumberFormat="1" applyFont="1" applyFill="1" applyAlignment="1">
      <alignment horizontal="left" vertical="center"/>
    </xf>
    <xf numFmtId="165" fontId="34" fillId="14" borderId="7" xfId="0" applyNumberFormat="1" applyFont="1" applyFill="1" applyBorder="1" applyAlignment="1">
      <alignment horizontal="left" vertical="center"/>
    </xf>
    <xf numFmtId="4" fontId="34" fillId="14" borderId="0" xfId="0" applyNumberFormat="1" applyFont="1" applyFill="1" applyAlignment="1">
      <alignment horizontal="left" vertical="center"/>
    </xf>
    <xf numFmtId="0" fontId="47" fillId="14" borderId="0" xfId="0" applyFont="1" applyFill="1" applyAlignment="1">
      <alignment horizontal="center" vertical="center"/>
    </xf>
    <xf numFmtId="0" fontId="48" fillId="14" borderId="0" xfId="0" applyFont="1" applyFill="1" applyAlignment="1">
      <alignment horizontal="left" vertical="center"/>
    </xf>
    <xf numFmtId="0" fontId="45" fillId="14" borderId="0" xfId="0" applyFont="1" applyFill="1" applyAlignment="1">
      <alignment horizontal="left" vertical="center"/>
    </xf>
    <xf numFmtId="0" fontId="48" fillId="14" borderId="6" xfId="0" applyFont="1" applyFill="1" applyBorder="1" applyAlignment="1">
      <alignment horizontal="left" vertical="center"/>
    </xf>
    <xf numFmtId="2" fontId="48" fillId="14" borderId="6" xfId="0" applyNumberFormat="1" applyFont="1" applyFill="1" applyBorder="1" applyAlignment="1">
      <alignment horizontal="left" vertical="center"/>
    </xf>
    <xf numFmtId="0" fontId="38" fillId="13" borderId="27" xfId="0" applyFont="1" applyFill="1" applyBorder="1" applyAlignment="1">
      <alignment vertical="center"/>
    </xf>
    <xf numFmtId="0" fontId="45" fillId="14" borderId="6" xfId="0" applyFont="1" applyFill="1" applyBorder="1" applyAlignment="1">
      <alignment horizontal="center" vertical="center"/>
    </xf>
    <xf numFmtId="2" fontId="45" fillId="14" borderId="6" xfId="0" applyNumberFormat="1" applyFont="1" applyFill="1" applyBorder="1" applyAlignment="1">
      <alignment horizontal="center" vertical="center"/>
    </xf>
    <xf numFmtId="0" fontId="39" fillId="9" borderId="30" xfId="9" applyFont="1" applyFill="1" applyBorder="1" applyAlignment="1">
      <alignment horizontal="center" vertical="center" wrapText="1"/>
    </xf>
    <xf numFmtId="0" fontId="50" fillId="0" borderId="31" xfId="8" applyFont="1" applyBorder="1" applyAlignment="1">
      <alignment vertical="center" wrapText="1"/>
    </xf>
    <xf numFmtId="4" fontId="50" fillId="0" borderId="31" xfId="8" applyNumberFormat="1" applyFont="1" applyBorder="1" applyAlignment="1">
      <alignment horizontal="right" vertical="center" wrapText="1"/>
    </xf>
    <xf numFmtId="2" fontId="50" fillId="0" borderId="31" xfId="8" applyNumberFormat="1" applyFont="1" applyBorder="1" applyAlignment="1">
      <alignment horizontal="right" vertical="center" wrapText="1"/>
    </xf>
    <xf numFmtId="0" fontId="50" fillId="0" borderId="31" xfId="8" applyFont="1" applyBorder="1" applyAlignment="1">
      <alignment wrapText="1"/>
    </xf>
    <xf numFmtId="4" fontId="50" fillId="0" borderId="31" xfId="8" applyNumberFormat="1" applyFont="1" applyBorder="1" applyAlignment="1">
      <alignment horizontal="right" wrapText="1"/>
    </xf>
    <xf numFmtId="2" fontId="50" fillId="0" borderId="31" xfId="8" applyNumberFormat="1" applyFont="1" applyBorder="1" applyAlignment="1">
      <alignment horizontal="right" wrapText="1"/>
    </xf>
    <xf numFmtId="0" fontId="50" fillId="0" borderId="31" xfId="7" applyFont="1" applyBorder="1" applyAlignment="1">
      <alignment wrapText="1"/>
    </xf>
    <xf numFmtId="2" fontId="50" fillId="0" borderId="31" xfId="9" applyNumberFormat="1" applyFont="1" applyBorder="1" applyAlignment="1">
      <alignment horizontal="right" vertical="center" wrapText="1"/>
    </xf>
    <xf numFmtId="0" fontId="50" fillId="0" borderId="31" xfId="9" applyFont="1" applyBorder="1" applyAlignment="1">
      <alignment horizontal="left" vertical="center" wrapText="1"/>
    </xf>
    <xf numFmtId="0" fontId="50" fillId="0" borderId="31" xfId="9" applyFont="1" applyBorder="1" applyAlignment="1">
      <alignment vertical="center" wrapText="1"/>
    </xf>
    <xf numFmtId="4" fontId="50" fillId="0" borderId="31" xfId="9" applyNumberFormat="1" applyFont="1" applyBorder="1" applyAlignment="1">
      <alignment horizontal="center" vertical="center" wrapText="1"/>
    </xf>
    <xf numFmtId="2" fontId="50" fillId="0" borderId="31" xfId="9" applyNumberFormat="1" applyFont="1" applyBorder="1" applyAlignment="1">
      <alignment horizontal="center" vertical="center" wrapText="1"/>
    </xf>
    <xf numFmtId="1" fontId="50" fillId="0" borderId="31" xfId="9" applyNumberFormat="1" applyFont="1" applyBorder="1" applyAlignment="1">
      <alignment horizontal="center" vertical="center" wrapText="1"/>
    </xf>
    <xf numFmtId="4" fontId="51" fillId="0" borderId="31" xfId="9" applyNumberFormat="1" applyFont="1" applyBorder="1" applyAlignment="1">
      <alignment horizontal="center" vertical="center" wrapText="1"/>
    </xf>
    <xf numFmtId="168" fontId="50" fillId="0" borderId="31" xfId="9" applyNumberFormat="1" applyFont="1" applyBorder="1" applyAlignment="1">
      <alignment horizontal="center" vertical="center" wrapText="1"/>
    </xf>
    <xf numFmtId="170" fontId="50" fillId="0" borderId="31" xfId="9" applyNumberFormat="1" applyFont="1" applyBorder="1" applyAlignment="1">
      <alignment vertical="center" wrapText="1"/>
    </xf>
    <xf numFmtId="4" fontId="50" fillId="0" borderId="33" xfId="8" applyNumberFormat="1" applyFont="1" applyBorder="1" applyAlignment="1">
      <alignment horizontal="right" vertical="center" wrapText="1"/>
    </xf>
    <xf numFmtId="0" fontId="25" fillId="0" borderId="35" xfId="8" applyFont="1" applyBorder="1" applyAlignment="1">
      <alignment horizontal="center" vertical="center" wrapText="1"/>
    </xf>
    <xf numFmtId="4" fontId="50" fillId="0" borderId="36" xfId="8" applyNumberFormat="1" applyFont="1" applyBorder="1" applyAlignment="1">
      <alignment horizontal="right" vertical="center" wrapText="1"/>
    </xf>
    <xf numFmtId="0" fontId="50" fillId="0" borderId="38" xfId="8" applyFont="1" applyBorder="1" applyAlignment="1">
      <alignment vertical="center" wrapText="1"/>
    </xf>
    <xf numFmtId="4" fontId="50" fillId="0" borderId="38" xfId="8" applyNumberFormat="1" applyFont="1" applyBorder="1" applyAlignment="1">
      <alignment horizontal="right" vertical="center" wrapText="1"/>
    </xf>
    <xf numFmtId="4" fontId="50" fillId="0" borderId="39" xfId="8" applyNumberFormat="1" applyFont="1" applyBorder="1" applyAlignment="1">
      <alignment horizontal="right" vertical="center" wrapText="1"/>
    </xf>
    <xf numFmtId="4" fontId="50" fillId="0" borderId="35" xfId="8" applyNumberFormat="1" applyFont="1" applyBorder="1" applyAlignment="1">
      <alignment horizontal="right" vertical="center" wrapText="1"/>
    </xf>
    <xf numFmtId="4" fontId="50" fillId="0" borderId="35" xfId="8" applyNumberFormat="1" applyFont="1" applyBorder="1" applyAlignment="1">
      <alignment horizontal="right" wrapText="1"/>
    </xf>
    <xf numFmtId="4" fontId="50" fillId="0" borderId="36" xfId="8" applyNumberFormat="1" applyFont="1" applyBorder="1" applyAlignment="1">
      <alignment horizontal="right" wrapText="1"/>
    </xf>
    <xf numFmtId="4" fontId="50" fillId="0" borderId="37" xfId="8" applyNumberFormat="1" applyFont="1" applyBorder="1" applyAlignment="1">
      <alignment horizontal="right" wrapText="1"/>
    </xf>
    <xf numFmtId="4" fontId="50" fillId="0" borderId="38" xfId="8" applyNumberFormat="1" applyFont="1" applyBorder="1" applyAlignment="1">
      <alignment horizontal="right" wrapText="1"/>
    </xf>
    <xf numFmtId="2" fontId="50" fillId="0" borderId="38" xfId="8" applyNumberFormat="1" applyFont="1" applyBorder="1" applyAlignment="1">
      <alignment horizontal="right" wrapText="1"/>
    </xf>
    <xf numFmtId="4" fontId="50" fillId="0" borderId="39" xfId="8" applyNumberFormat="1" applyFont="1" applyBorder="1" applyAlignment="1">
      <alignment horizontal="right" wrapText="1"/>
    </xf>
    <xf numFmtId="0" fontId="50" fillId="0" borderId="38" xfId="8" applyFont="1" applyBorder="1" applyAlignment="1">
      <alignment wrapText="1"/>
    </xf>
    <xf numFmtId="0" fontId="50" fillId="0" borderId="33" xfId="9" applyFont="1" applyBorder="1" applyAlignment="1">
      <alignment horizontal="left" vertical="center" wrapText="1"/>
    </xf>
    <xf numFmtId="0" fontId="50" fillId="0" borderId="33" xfId="9" applyFont="1" applyBorder="1" applyAlignment="1">
      <alignment vertical="center" wrapText="1"/>
    </xf>
    <xf numFmtId="4" fontId="50" fillId="0" borderId="33" xfId="9" applyNumberFormat="1" applyFont="1" applyBorder="1" applyAlignment="1">
      <alignment horizontal="center" vertical="center" wrapText="1"/>
    </xf>
    <xf numFmtId="2" fontId="50" fillId="0" borderId="33" xfId="9" applyNumberFormat="1" applyFont="1" applyBorder="1" applyAlignment="1">
      <alignment horizontal="center" vertical="center" wrapText="1"/>
    </xf>
    <xf numFmtId="1" fontId="50" fillId="0" borderId="33" xfId="9" applyNumberFormat="1" applyFont="1" applyBorder="1" applyAlignment="1">
      <alignment horizontal="center" vertical="center" wrapText="1"/>
    </xf>
    <xf numFmtId="0" fontId="50" fillId="0" borderId="38" xfId="9" applyFont="1" applyBorder="1" applyAlignment="1">
      <alignment horizontal="left" vertical="center" wrapText="1"/>
    </xf>
    <xf numFmtId="0" fontId="50" fillId="0" borderId="38" xfId="9" applyFont="1" applyBorder="1" applyAlignment="1">
      <alignment vertical="center" wrapText="1"/>
    </xf>
    <xf numFmtId="4" fontId="50" fillId="0" borderId="38" xfId="9" applyNumberFormat="1" applyFont="1" applyBorder="1" applyAlignment="1">
      <alignment horizontal="center" vertical="center" wrapText="1"/>
    </xf>
    <xf numFmtId="2" fontId="50" fillId="0" borderId="38" xfId="9" applyNumberFormat="1" applyFont="1" applyBorder="1" applyAlignment="1">
      <alignment horizontal="center" vertical="center" wrapText="1"/>
    </xf>
    <xf numFmtId="1" fontId="50" fillId="0" borderId="38" xfId="9" applyNumberFormat="1" applyFont="1" applyBorder="1" applyAlignment="1">
      <alignment horizontal="center" vertical="center" wrapText="1"/>
    </xf>
    <xf numFmtId="168" fontId="50" fillId="0" borderId="32" xfId="9" applyNumberFormat="1" applyFont="1" applyBorder="1" applyAlignment="1">
      <alignment horizontal="center" vertical="center" wrapText="1"/>
    </xf>
    <xf numFmtId="168" fontId="50" fillId="0" borderId="33" xfId="9" applyNumberFormat="1" applyFont="1" applyBorder="1" applyAlignment="1">
      <alignment horizontal="center" vertical="center" wrapText="1"/>
    </xf>
    <xf numFmtId="4" fontId="51" fillId="0" borderId="33" xfId="9" applyNumberFormat="1" applyFont="1" applyBorder="1" applyAlignment="1">
      <alignment horizontal="center" vertical="center" wrapText="1"/>
    </xf>
    <xf numFmtId="4" fontId="51" fillId="0" borderId="34" xfId="9" applyNumberFormat="1" applyFont="1" applyBorder="1" applyAlignment="1">
      <alignment horizontal="right" vertical="center" wrapText="1"/>
    </xf>
    <xf numFmtId="168" fontId="50" fillId="0" borderId="35" xfId="9" applyNumberFormat="1" applyFont="1" applyBorder="1" applyAlignment="1">
      <alignment horizontal="center" vertical="center" wrapText="1"/>
    </xf>
    <xf numFmtId="4" fontId="51" fillId="0" borderId="36" xfId="9" applyNumberFormat="1" applyFont="1" applyBorder="1" applyAlignment="1">
      <alignment horizontal="right" vertical="center" wrapText="1"/>
    </xf>
    <xf numFmtId="168" fontId="50" fillId="0" borderId="37" xfId="9" applyNumberFormat="1" applyFont="1" applyBorder="1" applyAlignment="1">
      <alignment horizontal="center" vertical="center" wrapText="1"/>
    </xf>
    <xf numFmtId="168" fontId="50" fillId="0" borderId="38" xfId="9" applyNumberFormat="1" applyFont="1" applyBorder="1" applyAlignment="1">
      <alignment horizontal="center" vertical="center" wrapText="1"/>
    </xf>
    <xf numFmtId="4" fontId="51" fillId="0" borderId="38" xfId="9" applyNumberFormat="1" applyFont="1" applyBorder="1" applyAlignment="1">
      <alignment horizontal="center" vertical="center" wrapText="1"/>
    </xf>
    <xf numFmtId="4" fontId="51" fillId="0" borderId="39" xfId="9" applyNumberFormat="1" applyFont="1" applyBorder="1" applyAlignment="1">
      <alignment horizontal="right" vertical="center" wrapText="1"/>
    </xf>
    <xf numFmtId="4" fontId="50" fillId="0" borderId="37" xfId="9" applyNumberFormat="1" applyFont="1" applyBorder="1" applyAlignment="1">
      <alignment horizontal="center" vertical="center" wrapText="1"/>
    </xf>
    <xf numFmtId="170" fontId="50" fillId="0" borderId="38" xfId="9" applyNumberFormat="1" applyFont="1" applyBorder="1" applyAlignment="1">
      <alignment vertical="center" wrapText="1"/>
    </xf>
    <xf numFmtId="2" fontId="35" fillId="2" borderId="40" xfId="0" applyNumberFormat="1" applyFont="1" applyFill="1" applyBorder="1" applyAlignment="1">
      <alignment horizontal="center" vertical="center" wrapText="1"/>
    </xf>
    <xf numFmtId="2" fontId="52" fillId="2" borderId="0" xfId="0" applyNumberFormat="1" applyFont="1" applyFill="1" applyAlignment="1">
      <alignment horizontal="center" vertical="center" wrapText="1"/>
    </xf>
    <xf numFmtId="2" fontId="52" fillId="2" borderId="40" xfId="0" applyNumberFormat="1" applyFont="1" applyFill="1" applyBorder="1" applyAlignment="1">
      <alignment horizontal="center" vertical="center" wrapText="1"/>
    </xf>
    <xf numFmtId="0" fontId="36" fillId="7" borderId="0" xfId="9" applyFont="1" applyFill="1" applyAlignment="1">
      <alignment horizontal="center" vertical="center" wrapText="1"/>
    </xf>
    <xf numFmtId="0" fontId="36" fillId="7" borderId="41" xfId="9" applyFont="1" applyFill="1" applyBorder="1" applyAlignment="1">
      <alignment horizontal="center" vertical="center" wrapText="1"/>
    </xf>
    <xf numFmtId="0" fontId="36" fillId="8" borderId="42" xfId="9" applyFont="1" applyFill="1" applyBorder="1" applyAlignment="1">
      <alignment horizontal="center" vertical="center" wrapText="1"/>
    </xf>
    <xf numFmtId="0" fontId="36" fillId="7" borderId="42" xfId="9" applyFont="1" applyFill="1" applyBorder="1" applyAlignment="1">
      <alignment vertical="center" wrapText="1"/>
    </xf>
    <xf numFmtId="0" fontId="36" fillId="7" borderId="42" xfId="9" applyFont="1" applyFill="1" applyBorder="1" applyAlignment="1">
      <alignment horizontal="center" vertical="center" wrapText="1"/>
    </xf>
    <xf numFmtId="0" fontId="39" fillId="9" borderId="42" xfId="9" applyFont="1" applyFill="1" applyBorder="1" applyAlignment="1">
      <alignment horizontal="center" vertical="center" wrapText="1"/>
    </xf>
    <xf numFmtId="0" fontId="36" fillId="7" borderId="43" xfId="9" applyFont="1" applyFill="1" applyBorder="1" applyAlignment="1">
      <alignment horizontal="center" vertical="center" wrapText="1"/>
    </xf>
    <xf numFmtId="0" fontId="24" fillId="0" borderId="44" xfId="0" applyFont="1" applyBorder="1" applyAlignment="1">
      <alignment vertical="center"/>
    </xf>
    <xf numFmtId="0" fontId="24" fillId="0" borderId="40" xfId="0" applyFont="1" applyBorder="1"/>
    <xf numFmtId="0" fontId="36" fillId="7" borderId="46" xfId="9" applyFont="1" applyFill="1" applyBorder="1" applyAlignment="1">
      <alignment horizontal="center" vertical="center" wrapText="1"/>
    </xf>
    <xf numFmtId="0" fontId="36" fillId="8" borderId="47" xfId="9" applyFont="1" applyFill="1" applyBorder="1" applyAlignment="1">
      <alignment horizontal="center" vertical="center" wrapText="1"/>
    </xf>
    <xf numFmtId="0" fontId="36" fillId="7" borderId="47" xfId="9" applyFont="1" applyFill="1" applyBorder="1" applyAlignment="1">
      <alignment horizontal="center" vertical="center" wrapText="1"/>
    </xf>
    <xf numFmtId="0" fontId="37" fillId="7" borderId="42" xfId="9" applyFont="1" applyFill="1" applyBorder="1" applyAlignment="1">
      <alignment horizontal="center" vertical="center" wrapText="1"/>
    </xf>
    <xf numFmtId="2" fontId="35" fillId="2" borderId="42" xfId="0" applyNumberFormat="1" applyFont="1" applyFill="1" applyBorder="1" applyAlignment="1">
      <alignment horizontal="center" vertical="center" wrapText="1"/>
    </xf>
    <xf numFmtId="0" fontId="53" fillId="9" borderId="42" xfId="9" applyFont="1" applyFill="1" applyBorder="1" applyAlignment="1">
      <alignment horizontal="center" vertical="center" wrapText="1"/>
    </xf>
    <xf numFmtId="0" fontId="23" fillId="10" borderId="42" xfId="9" applyFont="1" applyFill="1" applyBorder="1" applyAlignment="1">
      <alignment horizontal="center" vertical="center" wrapText="1"/>
    </xf>
    <xf numFmtId="0" fontId="24" fillId="5" borderId="0" xfId="0" applyFont="1" applyFill="1" applyAlignment="1">
      <alignment horizontal="center" vertical="center"/>
    </xf>
    <xf numFmtId="0" fontId="54" fillId="13" borderId="48" xfId="0" applyFont="1" applyFill="1" applyBorder="1" applyAlignment="1">
      <alignment horizontal="center" vertical="center" textRotation="90" wrapText="1"/>
    </xf>
    <xf numFmtId="0" fontId="54" fillId="13" borderId="3" xfId="0" applyFont="1" applyFill="1" applyBorder="1" applyAlignment="1">
      <alignment horizontal="center" vertical="center" textRotation="90" wrapText="1"/>
    </xf>
    <xf numFmtId="0" fontId="52" fillId="13" borderId="3" xfId="0" applyFont="1" applyFill="1" applyBorder="1" applyAlignment="1">
      <alignment horizontal="center" vertical="center" textRotation="90" wrapText="1"/>
    </xf>
    <xf numFmtId="0" fontId="55" fillId="0" borderId="0" xfId="0" applyFont="1"/>
    <xf numFmtId="0" fontId="14" fillId="0" borderId="0" xfId="0" applyFont="1"/>
    <xf numFmtId="0" fontId="15" fillId="0" borderId="0" xfId="0" applyFont="1"/>
    <xf numFmtId="0" fontId="15" fillId="0" borderId="0" xfId="0" applyFont="1" applyAlignment="1">
      <alignment vertical="center"/>
    </xf>
    <xf numFmtId="0" fontId="15" fillId="0" borderId="0" xfId="0" applyFont="1" applyAlignment="1">
      <alignment horizontal="center" vertical="center"/>
    </xf>
    <xf numFmtId="4" fontId="0" fillId="0" borderId="0" xfId="0" applyNumberFormat="1" applyAlignment="1">
      <alignment horizontal="right"/>
    </xf>
    <xf numFmtId="0" fontId="15" fillId="0" borderId="0" xfId="0" applyFont="1" applyAlignment="1">
      <alignment horizontal="left" vertical="top" wrapText="1"/>
    </xf>
    <xf numFmtId="0" fontId="15" fillId="0" borderId="0" xfId="0" applyFont="1" applyAlignment="1">
      <alignment horizontal="left" vertical="top"/>
    </xf>
    <xf numFmtId="0" fontId="56" fillId="0" borderId="0" xfId="0" applyFont="1" applyAlignment="1">
      <alignment horizontal="left" vertical="top"/>
    </xf>
    <xf numFmtId="0" fontId="56" fillId="0" borderId="0" xfId="0" applyFont="1" applyAlignment="1">
      <alignment horizontal="left" vertical="top" wrapText="1"/>
    </xf>
    <xf numFmtId="0" fontId="15" fillId="4" borderId="0" xfId="0" applyFont="1" applyFill="1" applyAlignment="1">
      <alignment horizontal="left" vertical="top"/>
    </xf>
    <xf numFmtId="0" fontId="0" fillId="15" borderId="0" xfId="0" applyFill="1"/>
    <xf numFmtId="0" fontId="17" fillId="15" borderId="0" xfId="0" applyFont="1" applyFill="1" applyAlignment="1">
      <alignment horizontal="left" vertical="top"/>
    </xf>
    <xf numFmtId="0" fontId="17" fillId="4" borderId="0" xfId="0" applyFont="1" applyFill="1" applyAlignment="1">
      <alignment horizontal="left" vertical="top"/>
    </xf>
    <xf numFmtId="0" fontId="0" fillId="0" borderId="0" xfId="0" applyAlignment="1">
      <alignment horizontal="right"/>
    </xf>
    <xf numFmtId="0" fontId="57" fillId="0" borderId="0" xfId="0" applyFont="1"/>
    <xf numFmtId="0" fontId="58" fillId="0" borderId="0" xfId="0" applyFont="1"/>
    <xf numFmtId="0" fontId="58" fillId="0" borderId="0" xfId="0" applyFont="1" applyAlignment="1">
      <alignment horizontal="center"/>
    </xf>
    <xf numFmtId="0" fontId="57" fillId="16" borderId="0" xfId="0" applyFont="1" applyFill="1"/>
    <xf numFmtId="0" fontId="57" fillId="17" borderId="0" xfId="0" applyFont="1" applyFill="1"/>
    <xf numFmtId="0" fontId="58" fillId="0" borderId="0" xfId="0" applyFont="1" applyAlignment="1">
      <alignment horizontal="left" vertical="center" wrapText="1"/>
    </xf>
    <xf numFmtId="0" fontId="58" fillId="0" borderId="0" xfId="0" applyFont="1" applyAlignment="1">
      <alignment horizontal="center" vertical="center" wrapText="1"/>
    </xf>
    <xf numFmtId="0" fontId="59" fillId="14" borderId="0" xfId="0" applyFont="1" applyFill="1"/>
    <xf numFmtId="0" fontId="59" fillId="0" borderId="0" xfId="0" applyFont="1"/>
    <xf numFmtId="0" fontId="59" fillId="18" borderId="0" xfId="0" applyFont="1" applyFill="1"/>
    <xf numFmtId="0" fontId="59" fillId="19" borderId="0" xfId="0" applyFont="1" applyFill="1"/>
    <xf numFmtId="0" fontId="60" fillId="18" borderId="0" xfId="0" applyFont="1" applyFill="1"/>
    <xf numFmtId="4" fontId="58" fillId="0" borderId="0" xfId="0" applyNumberFormat="1" applyFont="1"/>
    <xf numFmtId="4" fontId="58" fillId="0" borderId="0" xfId="0" applyNumberFormat="1" applyFont="1" applyAlignment="1">
      <alignment horizontal="right"/>
    </xf>
    <xf numFmtId="4" fontId="57" fillId="0" borderId="0" xfId="0" applyNumberFormat="1" applyFont="1" applyAlignment="1">
      <alignment horizontal="right"/>
    </xf>
    <xf numFmtId="4" fontId="59" fillId="18" borderId="0" xfId="0" applyNumberFormat="1" applyFont="1" applyFill="1" applyAlignment="1">
      <alignment horizontal="right"/>
    </xf>
    <xf numFmtId="4" fontId="57" fillId="17" borderId="0" xfId="0" applyNumberFormat="1" applyFont="1" applyFill="1" applyAlignment="1">
      <alignment horizontal="right"/>
    </xf>
    <xf numFmtId="4" fontId="57" fillId="16" borderId="0" xfId="0" applyNumberFormat="1" applyFont="1" applyFill="1" applyAlignment="1">
      <alignment horizontal="right"/>
    </xf>
    <xf numFmtId="4" fontId="58" fillId="0" borderId="0" xfId="0" applyNumberFormat="1" applyFont="1" applyAlignment="1">
      <alignment horizontal="right" vertical="center" wrapText="1"/>
    </xf>
    <xf numFmtId="4" fontId="58" fillId="0" borderId="0" xfId="0" applyNumberFormat="1" applyFont="1" applyAlignment="1">
      <alignment horizontal="left" vertical="center" wrapText="1"/>
    </xf>
    <xf numFmtId="4" fontId="58" fillId="0" borderId="0" xfId="0" applyNumberFormat="1" applyFont="1" applyAlignment="1">
      <alignment horizontal="center" vertical="center" wrapText="1"/>
    </xf>
    <xf numFmtId="0" fontId="38" fillId="13" borderId="0" xfId="0" applyFont="1" applyFill="1"/>
    <xf numFmtId="0" fontId="24" fillId="15" borderId="0" xfId="0" applyFont="1" applyFill="1"/>
    <xf numFmtId="0" fontId="24" fillId="15" borderId="49" xfId="0" applyFont="1" applyFill="1" applyBorder="1"/>
    <xf numFmtId="9" fontId="24" fillId="13" borderId="22" xfId="0" applyNumberFormat="1" applyFont="1" applyFill="1" applyBorder="1"/>
    <xf numFmtId="9" fontId="54" fillId="13" borderId="22" xfId="0" applyNumberFormat="1" applyFont="1" applyFill="1" applyBorder="1"/>
    <xf numFmtId="0" fontId="54" fillId="0" borderId="0" xfId="0" applyFont="1"/>
    <xf numFmtId="166" fontId="24" fillId="0" borderId="0" xfId="0" applyNumberFormat="1" applyFont="1" applyAlignment="1">
      <alignment horizontal="center"/>
    </xf>
    <xf numFmtId="0" fontId="13" fillId="0" borderId="0" xfId="0" applyFont="1"/>
    <xf numFmtId="0" fontId="38" fillId="0" borderId="0" xfId="0" applyFont="1" applyAlignment="1">
      <alignment horizontal="right"/>
    </xf>
    <xf numFmtId="9" fontId="38" fillId="0" borderId="0" xfId="0" applyNumberFormat="1" applyFont="1" applyAlignment="1">
      <alignment horizontal="center"/>
    </xf>
    <xf numFmtId="0" fontId="38" fillId="0" borderId="0" xfId="0" applyFont="1" applyAlignment="1">
      <alignment horizontal="center"/>
    </xf>
    <xf numFmtId="165" fontId="24" fillId="0" borderId="0" xfId="0" applyNumberFormat="1" applyFont="1" applyAlignment="1">
      <alignment horizontal="right"/>
    </xf>
    <xf numFmtId="9" fontId="54" fillId="13" borderId="0" xfId="0" applyNumberFormat="1" applyFont="1" applyFill="1" applyAlignment="1">
      <alignment horizontal="center"/>
    </xf>
    <xf numFmtId="0" fontId="61" fillId="0" borderId="0" xfId="0" applyFont="1"/>
    <xf numFmtId="14" fontId="24" fillId="0" borderId="0" xfId="0" applyNumberFormat="1" applyFont="1" applyAlignment="1">
      <alignment horizontal="center"/>
    </xf>
    <xf numFmtId="0" fontId="62" fillId="0" borderId="0" xfId="0" applyFont="1" applyAlignment="1">
      <alignment horizontal="center"/>
    </xf>
    <xf numFmtId="0" fontId="63" fillId="0" borderId="0" xfId="0" applyFont="1"/>
    <xf numFmtId="0" fontId="63" fillId="3" borderId="0" xfId="0" applyFont="1" applyFill="1" applyAlignment="1">
      <alignment horizontal="center"/>
    </xf>
    <xf numFmtId="0" fontId="63" fillId="3" borderId="0" xfId="0" applyFont="1" applyFill="1"/>
    <xf numFmtId="0" fontId="63" fillId="0" borderId="3" xfId="0" applyFont="1" applyBorder="1" applyAlignment="1">
      <alignment horizontal="center"/>
    </xf>
    <xf numFmtId="0" fontId="63" fillId="0" borderId="3" xfId="0" applyFont="1" applyBorder="1"/>
    <xf numFmtId="0" fontId="63" fillId="0" borderId="0" xfId="0" applyFont="1" applyAlignment="1">
      <alignment horizontal="center"/>
    </xf>
    <xf numFmtId="0" fontId="61" fillId="6" borderId="0" xfId="0" applyFont="1" applyFill="1"/>
    <xf numFmtId="0" fontId="64" fillId="6" borderId="0" xfId="0" applyFont="1" applyFill="1"/>
    <xf numFmtId="4" fontId="61" fillId="0" borderId="0" xfId="0" applyNumberFormat="1" applyFont="1"/>
    <xf numFmtId="4" fontId="65" fillId="0" borderId="31" xfId="8" applyNumberFormat="1" applyFont="1" applyBorder="1" applyAlignment="1">
      <alignment horizontal="right" vertical="center" wrapText="1"/>
    </xf>
    <xf numFmtId="4" fontId="65" fillId="0" borderId="38" xfId="8" applyNumberFormat="1" applyFont="1" applyBorder="1" applyAlignment="1">
      <alignment horizontal="right" vertical="center" wrapText="1"/>
    </xf>
    <xf numFmtId="2" fontId="66" fillId="2" borderId="0" xfId="0" applyNumberFormat="1" applyFont="1" applyFill="1" applyAlignment="1">
      <alignment horizontal="center" vertical="center" wrapText="1"/>
    </xf>
    <xf numFmtId="0" fontId="49" fillId="22" borderId="0" xfId="0" applyFont="1" applyFill="1"/>
    <xf numFmtId="4" fontId="67" fillId="22" borderId="0" xfId="0" applyNumberFormat="1" applyFont="1" applyFill="1"/>
    <xf numFmtId="4" fontId="35" fillId="2" borderId="0" xfId="0" applyNumberFormat="1" applyFont="1" applyFill="1" applyAlignment="1">
      <alignment horizontal="center" vertical="center" wrapText="1"/>
    </xf>
    <xf numFmtId="2" fontId="0" fillId="0" borderId="0" xfId="0" applyNumberFormat="1"/>
    <xf numFmtId="0" fontId="22" fillId="0" borderId="0" xfId="3" applyAlignment="1">
      <alignment horizontal="left" vertical="top"/>
    </xf>
    <xf numFmtId="0" fontId="13" fillId="23" borderId="0" xfId="0" applyFont="1" applyFill="1"/>
    <xf numFmtId="0" fontId="49" fillId="22" borderId="0" xfId="0" applyFont="1" applyFill="1" applyAlignment="1">
      <alignment horizontal="right"/>
    </xf>
    <xf numFmtId="4" fontId="50" fillId="0" borderId="50" xfId="8" applyNumberFormat="1" applyFont="1" applyBorder="1" applyAlignment="1">
      <alignment horizontal="right" vertical="center" wrapText="1"/>
    </xf>
    <xf numFmtId="4" fontId="50" fillId="0" borderId="55" xfId="8" applyNumberFormat="1" applyFont="1" applyBorder="1" applyAlignment="1">
      <alignment horizontal="right" vertical="center" wrapText="1"/>
    </xf>
    <xf numFmtId="0" fontId="49" fillId="22" borderId="0" xfId="0" applyFont="1" applyFill="1" applyAlignment="1">
      <alignment horizontal="left"/>
    </xf>
    <xf numFmtId="165" fontId="25" fillId="4" borderId="3" xfId="0" applyNumberFormat="1" applyFont="1" applyFill="1" applyBorder="1" applyAlignment="1">
      <alignment vertical="center"/>
    </xf>
    <xf numFmtId="4" fontId="24" fillId="0" borderId="8" xfId="0" applyNumberFormat="1" applyFont="1" applyBorder="1" applyAlignment="1">
      <alignment vertical="center"/>
    </xf>
    <xf numFmtId="0" fontId="68" fillId="17" borderId="3" xfId="0" applyFont="1" applyFill="1" applyBorder="1" applyAlignment="1">
      <alignment horizontal="center" vertical="center" wrapText="1"/>
    </xf>
    <xf numFmtId="165" fontId="24" fillId="0" borderId="8" xfId="0" applyNumberFormat="1" applyFont="1" applyBorder="1" applyAlignment="1">
      <alignment vertical="center"/>
    </xf>
    <xf numFmtId="0" fontId="63" fillId="0" borderId="2" xfId="0" applyFont="1" applyBorder="1" applyAlignment="1">
      <alignment vertical="center"/>
    </xf>
    <xf numFmtId="0" fontId="63" fillId="0" borderId="0" xfId="0" applyFont="1" applyAlignment="1">
      <alignment vertical="center"/>
    </xf>
    <xf numFmtId="0" fontId="63" fillId="0" borderId="4" xfId="0" applyFont="1" applyBorder="1" applyAlignment="1">
      <alignment vertical="center"/>
    </xf>
    <xf numFmtId="0" fontId="78" fillId="24" borderId="0" xfId="0" applyFont="1" applyFill="1" applyAlignment="1">
      <alignment horizontal="right"/>
    </xf>
    <xf numFmtId="0" fontId="79" fillId="24" borderId="0" xfId="0" applyFont="1" applyFill="1" applyAlignment="1">
      <alignment horizontal="right"/>
    </xf>
    <xf numFmtId="4" fontId="82" fillId="0" borderId="0" xfId="0" applyNumberFormat="1" applyFont="1" applyAlignment="1">
      <alignment horizontal="right"/>
    </xf>
    <xf numFmtId="0" fontId="82" fillId="0" borderId="0" xfId="0" applyFont="1" applyAlignment="1">
      <alignment horizontal="right"/>
    </xf>
    <xf numFmtId="0" fontId="83" fillId="0" borderId="0" xfId="0" applyFont="1"/>
    <xf numFmtId="0" fontId="54" fillId="12" borderId="0" xfId="0" applyFont="1" applyFill="1"/>
    <xf numFmtId="0" fontId="54" fillId="12" borderId="0" xfId="0" applyFont="1" applyFill="1" applyAlignment="1">
      <alignment horizontal="left"/>
    </xf>
    <xf numFmtId="9" fontId="24" fillId="12" borderId="22" xfId="0" applyNumberFormat="1" applyFont="1" applyFill="1" applyBorder="1"/>
    <xf numFmtId="165" fontId="54" fillId="12" borderId="22" xfId="0" applyNumberFormat="1" applyFont="1" applyFill="1" applyBorder="1" applyAlignment="1">
      <alignment horizontal="right"/>
    </xf>
    <xf numFmtId="9" fontId="54" fillId="12" borderId="22" xfId="0" applyNumberFormat="1" applyFont="1" applyFill="1" applyBorder="1" applyAlignment="1">
      <alignment horizontal="right"/>
    </xf>
    <xf numFmtId="165" fontId="54" fillId="12" borderId="0" xfId="0" applyNumberFormat="1" applyFont="1" applyFill="1"/>
    <xf numFmtId="0" fontId="63" fillId="4" borderId="92" xfId="0" applyFont="1" applyFill="1" applyBorder="1" applyAlignment="1">
      <alignment horizontal="left"/>
    </xf>
    <xf numFmtId="0" fontId="63" fillId="0" borderId="92" xfId="0" applyFont="1" applyBorder="1" applyAlignment="1">
      <alignment horizontal="left"/>
    </xf>
    <xf numFmtId="165" fontId="61" fillId="0" borderId="92" xfId="0" applyNumberFormat="1" applyFont="1" applyBorder="1"/>
    <xf numFmtId="165" fontId="61" fillId="26" borderId="0" xfId="0" applyNumberFormat="1" applyFont="1" applyFill="1"/>
    <xf numFmtId="0" fontId="80" fillId="12" borderId="0" xfId="0" applyFont="1" applyFill="1"/>
    <xf numFmtId="0" fontId="80" fillId="12" borderId="8" xfId="0" applyFont="1" applyFill="1" applyBorder="1"/>
    <xf numFmtId="0" fontId="80" fillId="12" borderId="9" xfId="0" applyFont="1" applyFill="1" applyBorder="1"/>
    <xf numFmtId="165" fontId="54" fillId="12" borderId="9" xfId="0" applyNumberFormat="1" applyFont="1" applyFill="1" applyBorder="1"/>
    <xf numFmtId="0" fontId="24" fillId="26" borderId="0" xfId="0" applyFont="1" applyFill="1" applyAlignment="1">
      <alignment horizontal="center"/>
    </xf>
    <xf numFmtId="2" fontId="35" fillId="26" borderId="0" xfId="0" applyNumberFormat="1" applyFont="1" applyFill="1" applyAlignment="1">
      <alignment horizontal="center" vertical="center" wrapText="1"/>
    </xf>
    <xf numFmtId="0" fontId="24" fillId="12" borderId="0" xfId="0" applyFont="1" applyFill="1" applyAlignment="1">
      <alignment horizontal="center"/>
    </xf>
    <xf numFmtId="4" fontId="38" fillId="12" borderId="0" xfId="0" applyNumberFormat="1" applyFont="1" applyFill="1" applyAlignment="1">
      <alignment horizontal="center"/>
    </xf>
    <xf numFmtId="165" fontId="38" fillId="12" borderId="0" xfId="0" applyNumberFormat="1" applyFont="1" applyFill="1" applyAlignment="1">
      <alignment horizontal="center"/>
    </xf>
    <xf numFmtId="0" fontId="84" fillId="21" borderId="10" xfId="9" applyFont="1" applyFill="1" applyBorder="1" applyAlignment="1">
      <alignment horizontal="center" vertical="center" wrapText="1"/>
    </xf>
    <xf numFmtId="0" fontId="71" fillId="20" borderId="10" xfId="9" applyFont="1" applyFill="1" applyBorder="1" applyAlignment="1">
      <alignment horizontal="center" vertical="center" wrapText="1"/>
    </xf>
    <xf numFmtId="0" fontId="38" fillId="12" borderId="42" xfId="0" applyFont="1" applyFill="1" applyBorder="1"/>
    <xf numFmtId="4" fontId="38" fillId="12" borderId="45" xfId="0" applyNumberFormat="1" applyFont="1" applyFill="1" applyBorder="1"/>
    <xf numFmtId="0" fontId="38" fillId="12" borderId="41" xfId="0" applyFont="1" applyFill="1" applyBorder="1" applyAlignment="1">
      <alignment vertical="center"/>
    </xf>
    <xf numFmtId="0" fontId="72" fillId="9" borderId="30" xfId="9" applyFont="1" applyFill="1" applyBorder="1" applyAlignment="1">
      <alignment horizontal="center" vertical="center" wrapText="1"/>
    </xf>
    <xf numFmtId="0" fontId="54" fillId="12" borderId="3" xfId="0" applyFont="1" applyFill="1" applyBorder="1"/>
    <xf numFmtId="0" fontId="24" fillId="12" borderId="26" xfId="0" applyFont="1" applyFill="1" applyBorder="1" applyAlignment="1">
      <alignment horizontal="center" vertical="center"/>
    </xf>
    <xf numFmtId="0" fontId="24" fillId="12" borderId="27" xfId="0" applyFont="1" applyFill="1" applyBorder="1" applyAlignment="1">
      <alignment vertical="center"/>
    </xf>
    <xf numFmtId="0" fontId="24" fillId="12" borderId="27" xfId="0" applyFont="1" applyFill="1" applyBorder="1" applyAlignment="1">
      <alignment horizontal="center" vertical="center"/>
    </xf>
    <xf numFmtId="0" fontId="23" fillId="12" borderId="27" xfId="0" applyFont="1" applyFill="1" applyBorder="1" applyAlignment="1">
      <alignment horizontal="right" vertical="center"/>
    </xf>
    <xf numFmtId="4" fontId="23" fillId="12" borderId="27" xfId="0" applyNumberFormat="1" applyFont="1" applyFill="1" applyBorder="1" applyAlignment="1">
      <alignment horizontal="right" vertical="center"/>
    </xf>
    <xf numFmtId="0" fontId="23" fillId="12" borderId="27" xfId="0" applyFont="1" applyFill="1" applyBorder="1" applyAlignment="1">
      <alignment vertical="center"/>
    </xf>
    <xf numFmtId="165" fontId="23" fillId="12" borderId="28" xfId="0" applyNumberFormat="1" applyFont="1" applyFill="1" applyBorder="1" applyAlignment="1">
      <alignment vertical="center"/>
    </xf>
    <xf numFmtId="165" fontId="23" fillId="12" borderId="27" xfId="0" applyNumberFormat="1" applyFont="1" applyFill="1" applyBorder="1" applyAlignment="1">
      <alignment horizontal="right" vertical="center"/>
    </xf>
    <xf numFmtId="165" fontId="23" fillId="12" borderId="27" xfId="0" applyNumberFormat="1" applyFont="1" applyFill="1" applyBorder="1" applyAlignment="1">
      <alignment vertical="center"/>
    </xf>
    <xf numFmtId="0" fontId="46" fillId="12" borderId="29" xfId="0" applyFont="1" applyFill="1" applyBorder="1" applyAlignment="1">
      <alignment vertical="center"/>
    </xf>
    <xf numFmtId="0" fontId="38" fillId="27" borderId="19" xfId="0" applyFont="1" applyFill="1" applyBorder="1" applyAlignment="1">
      <alignment horizontal="center" vertical="center" wrapText="1"/>
    </xf>
    <xf numFmtId="0" fontId="23" fillId="27" borderId="3" xfId="0" applyFont="1" applyFill="1" applyBorder="1" applyAlignment="1">
      <alignment horizontal="center" vertical="center" wrapText="1"/>
    </xf>
    <xf numFmtId="0" fontId="23" fillId="27" borderId="5" xfId="0" applyFont="1" applyFill="1" applyBorder="1" applyAlignment="1">
      <alignment horizontal="center" vertical="center" wrapText="1"/>
    </xf>
    <xf numFmtId="0" fontId="23" fillId="27" borderId="4" xfId="0" applyFont="1" applyFill="1" applyBorder="1" applyAlignment="1">
      <alignment horizontal="center" vertical="center" wrapText="1"/>
    </xf>
    <xf numFmtId="0" fontId="23" fillId="12" borderId="26" xfId="0" applyFont="1" applyFill="1" applyBorder="1" applyAlignment="1">
      <alignment horizontal="right" vertical="center"/>
    </xf>
    <xf numFmtId="0" fontId="24" fillId="12" borderId="0" xfId="0" applyFont="1" applyFill="1" applyAlignment="1">
      <alignment horizontal="center" vertical="center"/>
    </xf>
    <xf numFmtId="0" fontId="23" fillId="12" borderId="0" xfId="0" applyFont="1" applyFill="1" applyAlignment="1">
      <alignment horizontal="right" vertical="center"/>
    </xf>
    <xf numFmtId="4" fontId="23" fillId="12" borderId="0" xfId="0" applyNumberFormat="1" applyFont="1" applyFill="1" applyAlignment="1">
      <alignment horizontal="right" vertical="center"/>
    </xf>
    <xf numFmtId="165" fontId="23" fillId="12" borderId="0" xfId="0" applyNumberFormat="1" applyFont="1" applyFill="1" applyAlignment="1">
      <alignment vertical="center"/>
    </xf>
    <xf numFmtId="0" fontId="23" fillId="27" borderId="2" xfId="0" applyFont="1" applyFill="1" applyBorder="1" applyAlignment="1">
      <alignment horizontal="center" vertical="center" wrapText="1"/>
    </xf>
    <xf numFmtId="0" fontId="38" fillId="12" borderId="27" xfId="0" applyFont="1" applyFill="1" applyBorder="1" applyAlignment="1">
      <alignment vertical="center"/>
    </xf>
    <xf numFmtId="0" fontId="57" fillId="27" borderId="0" xfId="0" applyFont="1" applyFill="1"/>
    <xf numFmtId="0" fontId="24" fillId="19" borderId="0" xfId="0" applyFont="1" applyFill="1" applyAlignment="1">
      <alignment vertical="center"/>
    </xf>
    <xf numFmtId="8" fontId="24" fillId="19" borderId="0" xfId="0" applyNumberFormat="1" applyFont="1" applyFill="1" applyAlignment="1">
      <alignment vertical="center"/>
    </xf>
    <xf numFmtId="168" fontId="35" fillId="2" borderId="0" xfId="0" applyNumberFormat="1" applyFont="1" applyFill="1" applyAlignment="1">
      <alignment horizontal="center" vertical="center" wrapText="1"/>
    </xf>
    <xf numFmtId="4" fontId="50" fillId="0" borderId="55" xfId="8" applyNumberFormat="1" applyFont="1" applyBorder="1" applyAlignment="1">
      <alignment horizontal="right" wrapText="1"/>
    </xf>
    <xf numFmtId="4" fontId="87" fillId="0" borderId="31" xfId="8" applyNumberFormat="1" applyFont="1" applyBorder="1" applyAlignment="1">
      <alignment horizontal="right" wrapText="1"/>
    </xf>
    <xf numFmtId="2" fontId="88" fillId="2" borderId="0" xfId="0" applyNumberFormat="1" applyFont="1" applyFill="1" applyAlignment="1">
      <alignment horizontal="center" vertical="center" wrapText="1"/>
    </xf>
    <xf numFmtId="4" fontId="50" fillId="0" borderId="50" xfId="8" applyNumberFormat="1" applyFont="1" applyBorder="1" applyAlignment="1">
      <alignment horizontal="right" wrapText="1"/>
    </xf>
    <xf numFmtId="173" fontId="50" fillId="0" borderId="50" xfId="8" applyNumberFormat="1" applyFont="1" applyBorder="1" applyAlignment="1">
      <alignment horizontal="right" vertical="center" wrapText="1"/>
    </xf>
    <xf numFmtId="0" fontId="89" fillId="9" borderId="10" xfId="9" applyFont="1" applyFill="1" applyBorder="1" applyAlignment="1">
      <alignment horizontal="center" vertical="center" wrapText="1"/>
    </xf>
    <xf numFmtId="0" fontId="27" fillId="4" borderId="13" xfId="0" applyFont="1" applyFill="1" applyBorder="1" applyAlignment="1">
      <alignment horizontal="center"/>
    </xf>
    <xf numFmtId="2" fontId="25" fillId="4" borderId="15" xfId="0" applyNumberFormat="1" applyFont="1" applyFill="1" applyBorder="1" applyAlignment="1">
      <alignment horizontal="center"/>
    </xf>
    <xf numFmtId="0" fontId="86" fillId="0" borderId="0" xfId="0" applyFont="1" applyAlignment="1">
      <alignment horizontal="right"/>
    </xf>
    <xf numFmtId="0" fontId="86" fillId="4" borderId="17" xfId="0" applyFont="1" applyFill="1" applyBorder="1" applyAlignment="1">
      <alignment horizontal="right"/>
    </xf>
    <xf numFmtId="0" fontId="90" fillId="0" borderId="0" xfId="0" applyFont="1"/>
    <xf numFmtId="0" fontId="86" fillId="4" borderId="14" xfId="0" applyFont="1" applyFill="1" applyBorder="1" applyAlignment="1">
      <alignment horizontal="right"/>
    </xf>
    <xf numFmtId="0" fontId="50" fillId="28" borderId="31" xfId="8" applyFont="1" applyFill="1" applyBorder="1" applyAlignment="1">
      <alignment vertical="center" wrapText="1"/>
    </xf>
    <xf numFmtId="0" fontId="50" fillId="24" borderId="31" xfId="8" applyFont="1" applyFill="1" applyBorder="1" applyAlignment="1">
      <alignment vertical="center" wrapText="1"/>
    </xf>
    <xf numFmtId="0" fontId="50" fillId="24" borderId="31" xfId="8" applyFont="1" applyFill="1" applyBorder="1" applyAlignment="1">
      <alignment wrapText="1"/>
    </xf>
    <xf numFmtId="0" fontId="50" fillId="28" borderId="31" xfId="8" applyFont="1" applyFill="1" applyBorder="1" applyAlignment="1">
      <alignment wrapText="1"/>
    </xf>
    <xf numFmtId="0" fontId="50" fillId="4" borderId="31" xfId="8" applyFont="1" applyFill="1" applyBorder="1" applyAlignment="1">
      <alignment vertical="center" wrapText="1"/>
    </xf>
    <xf numFmtId="0" fontId="50" fillId="4" borderId="31" xfId="8" applyFont="1" applyFill="1" applyBorder="1" applyAlignment="1">
      <alignment wrapText="1"/>
    </xf>
    <xf numFmtId="0" fontId="50" fillId="4" borderId="31" xfId="7" applyFont="1" applyFill="1" applyBorder="1" applyAlignment="1">
      <alignment wrapText="1"/>
    </xf>
    <xf numFmtId="0" fontId="50" fillId="4" borderId="38" xfId="8" applyFont="1" applyFill="1" applyBorder="1" applyAlignment="1">
      <alignment wrapText="1"/>
    </xf>
    <xf numFmtId="0" fontId="50" fillId="22" borderId="31" xfId="8" applyFont="1" applyFill="1" applyBorder="1" applyAlignment="1">
      <alignment wrapText="1"/>
    </xf>
    <xf numFmtId="2" fontId="36" fillId="2" borderId="0" xfId="0" applyNumberFormat="1" applyFont="1" applyFill="1" applyAlignment="1">
      <alignment vertical="center" wrapText="1"/>
    </xf>
    <xf numFmtId="169" fontId="50" fillId="0" borderId="33" xfId="9" applyNumberFormat="1" applyFont="1" applyBorder="1" applyAlignment="1">
      <alignment horizontal="right" vertical="center" wrapText="1"/>
    </xf>
    <xf numFmtId="169" fontId="50" fillId="0" borderId="31" xfId="9" applyNumberFormat="1" applyFont="1" applyBorder="1" applyAlignment="1">
      <alignment horizontal="right" vertical="center" wrapText="1"/>
    </xf>
    <xf numFmtId="169" fontId="50" fillId="0" borderId="38" xfId="9" applyNumberFormat="1" applyFont="1" applyBorder="1" applyAlignment="1">
      <alignment horizontal="right" vertical="center" wrapText="1"/>
    </xf>
    <xf numFmtId="169" fontId="35" fillId="2" borderId="0" xfId="0" applyNumberFormat="1" applyFont="1" applyFill="1" applyAlignment="1">
      <alignment horizontal="right" vertical="center" wrapText="1"/>
    </xf>
    <xf numFmtId="4" fontId="50" fillId="0" borderId="33" xfId="9" applyNumberFormat="1" applyFont="1" applyBorder="1" applyAlignment="1">
      <alignment horizontal="right" vertical="center" wrapText="1"/>
    </xf>
    <xf numFmtId="4" fontId="50" fillId="0" borderId="31" xfId="9" applyNumberFormat="1" applyFont="1" applyBorder="1" applyAlignment="1">
      <alignment horizontal="right" vertical="center" wrapText="1"/>
    </xf>
    <xf numFmtId="4" fontId="50" fillId="0" borderId="38" xfId="9" applyNumberFormat="1" applyFont="1" applyBorder="1" applyAlignment="1">
      <alignment horizontal="right" vertical="center" wrapText="1"/>
    </xf>
    <xf numFmtId="2" fontId="35" fillId="2" borderId="0" xfId="0" applyNumberFormat="1" applyFont="1" applyFill="1" applyAlignment="1">
      <alignment horizontal="right" vertical="center" wrapText="1"/>
    </xf>
    <xf numFmtId="4" fontId="35" fillId="2" borderId="0" xfId="0" applyNumberFormat="1" applyFont="1" applyFill="1" applyAlignment="1">
      <alignment horizontal="right" vertical="center" wrapText="1"/>
    </xf>
    <xf numFmtId="4" fontId="50" fillId="0" borderId="50" xfId="9" applyNumberFormat="1" applyFont="1" applyBorder="1" applyAlignment="1">
      <alignment horizontal="right" vertical="center" wrapText="1"/>
    </xf>
    <xf numFmtId="4" fontId="51" fillId="0" borderId="33" xfId="8" applyNumberFormat="1" applyFont="1" applyBorder="1" applyAlignment="1">
      <alignment horizontal="right" vertical="center" wrapText="1"/>
    </xf>
    <xf numFmtId="4" fontId="51" fillId="0" borderId="33" xfId="9" applyNumberFormat="1" applyFont="1" applyBorder="1" applyAlignment="1">
      <alignment horizontal="right" vertical="center" wrapText="1"/>
    </xf>
    <xf numFmtId="4" fontId="51" fillId="0" borderId="31" xfId="9" applyNumberFormat="1" applyFont="1" applyBorder="1" applyAlignment="1">
      <alignment horizontal="right" vertical="center" wrapText="1"/>
    </xf>
    <xf numFmtId="4" fontId="51" fillId="0" borderId="38" xfId="9" applyNumberFormat="1" applyFont="1" applyBorder="1" applyAlignment="1">
      <alignment horizontal="right" vertical="center" wrapText="1"/>
    </xf>
    <xf numFmtId="4" fontId="24" fillId="0" borderId="0" xfId="0" applyNumberFormat="1" applyFont="1" applyAlignment="1">
      <alignment vertical="center"/>
    </xf>
    <xf numFmtId="44" fontId="62" fillId="0" borderId="0" xfId="0" applyNumberFormat="1" applyFont="1" applyAlignment="1">
      <alignment horizontal="center"/>
    </xf>
    <xf numFmtId="0" fontId="80" fillId="10" borderId="10" xfId="9" applyFont="1" applyFill="1" applyBorder="1" applyAlignment="1">
      <alignment horizontal="center" vertical="center" wrapText="1"/>
    </xf>
    <xf numFmtId="0" fontId="86" fillId="8" borderId="42" xfId="9" applyFont="1" applyFill="1" applyBorder="1" applyAlignment="1">
      <alignment horizontal="center" vertical="center" wrapText="1"/>
    </xf>
    <xf numFmtId="168" fontId="91" fillId="2" borderId="0" xfId="0" applyNumberFormat="1" applyFont="1" applyFill="1" applyAlignment="1">
      <alignment horizontal="center" vertical="center" wrapText="1"/>
    </xf>
    <xf numFmtId="4" fontId="0" fillId="0" borderId="0" xfId="0" applyNumberFormat="1" applyAlignment="1">
      <alignment horizontal="right"/>
    </xf>
    <xf numFmtId="4" fontId="15" fillId="0" borderId="0" xfId="0" applyNumberFormat="1" applyFont="1" applyAlignment="1">
      <alignment horizontal="right"/>
    </xf>
    <xf numFmtId="4" fontId="81" fillId="0" borderId="0" xfId="0" applyNumberFormat="1" applyFont="1" applyAlignment="1">
      <alignment horizontal="right"/>
    </xf>
    <xf numFmtId="165" fontId="13" fillId="0" borderId="0" xfId="0" applyNumberFormat="1" applyFont="1" applyAlignment="1">
      <alignment horizontal="right"/>
    </xf>
    <xf numFmtId="10" fontId="82" fillId="0" borderId="0" xfId="0" applyNumberFormat="1" applyFont="1" applyAlignment="1">
      <alignment horizontal="right"/>
    </xf>
    <xf numFmtId="0" fontId="13" fillId="23" borderId="0" xfId="0" applyFont="1" applyFill="1" applyAlignment="1">
      <alignment horizontal="center"/>
    </xf>
    <xf numFmtId="0" fontId="54" fillId="13" borderId="6" xfId="0" applyFont="1" applyFill="1" applyBorder="1" applyAlignment="1">
      <alignment horizontal="center"/>
    </xf>
    <xf numFmtId="0" fontId="38" fillId="13" borderId="0" xfId="0" applyFont="1" applyFill="1" applyAlignment="1">
      <alignment horizontal="center"/>
    </xf>
    <xf numFmtId="0" fontId="0" fillId="0" borderId="0" xfId="0" applyAlignment="1">
      <alignment horizontal="center"/>
    </xf>
    <xf numFmtId="17" fontId="15" fillId="4" borderId="0" xfId="0" applyNumberFormat="1" applyFont="1" applyFill="1" applyAlignment="1">
      <alignment horizontal="center" vertical="top"/>
    </xf>
    <xf numFmtId="0" fontId="15" fillId="4" borderId="0" xfId="0" applyFont="1" applyFill="1" applyAlignment="1">
      <alignment horizontal="center" vertical="top"/>
    </xf>
    <xf numFmtId="10" fontId="15" fillId="4" borderId="0" xfId="0" applyNumberFormat="1" applyFont="1" applyFill="1" applyAlignment="1">
      <alignment horizontal="center" vertical="top"/>
    </xf>
    <xf numFmtId="17" fontId="17" fillId="4" borderId="0" xfId="0" applyNumberFormat="1" applyFont="1" applyFill="1" applyAlignment="1">
      <alignment horizontal="center" vertical="top"/>
    </xf>
    <xf numFmtId="0" fontId="17" fillId="4" borderId="0" xfId="0" applyFont="1" applyFill="1" applyAlignment="1">
      <alignment horizontal="center" vertical="top"/>
    </xf>
    <xf numFmtId="10" fontId="17" fillId="4" borderId="0" xfId="0" applyNumberFormat="1" applyFont="1" applyFill="1" applyAlignment="1">
      <alignment horizontal="center" vertical="top"/>
    </xf>
    <xf numFmtId="0" fontId="17" fillId="15" borderId="0" xfId="0" applyFont="1" applyFill="1" applyAlignment="1">
      <alignment horizontal="center" vertical="top"/>
    </xf>
    <xf numFmtId="10" fontId="13" fillId="15" borderId="0" xfId="0" applyNumberFormat="1" applyFont="1" applyFill="1" applyAlignment="1">
      <alignment horizontal="center"/>
    </xf>
    <xf numFmtId="0" fontId="13" fillId="15" borderId="0" xfId="0" applyFont="1" applyFill="1" applyAlignment="1">
      <alignment horizontal="center"/>
    </xf>
    <xf numFmtId="2" fontId="15" fillId="23" borderId="0" xfId="0" applyNumberFormat="1" applyFont="1" applyFill="1" applyAlignment="1">
      <alignment horizontal="center"/>
    </xf>
    <xf numFmtId="0" fontId="38" fillId="12" borderId="6" xfId="0" applyFont="1" applyFill="1" applyBorder="1" applyAlignment="1">
      <alignment horizontal="center"/>
    </xf>
    <xf numFmtId="0" fontId="38" fillId="12" borderId="0" xfId="0" applyFont="1" applyFill="1" applyAlignment="1">
      <alignment horizontal="center"/>
    </xf>
    <xf numFmtId="0" fontId="15" fillId="0" borderId="0" xfId="0" applyFont="1" applyAlignment="1">
      <alignment horizontal="left" vertical="top" wrapText="1"/>
    </xf>
    <xf numFmtId="4" fontId="58" fillId="16" borderId="0" xfId="0" applyNumberFormat="1" applyFont="1" applyFill="1" applyAlignment="1">
      <alignment horizontal="right"/>
    </xf>
    <xf numFmtId="0" fontId="59" fillId="16" borderId="0" xfId="0" applyFont="1" applyFill="1" applyAlignment="1">
      <alignment horizontal="right"/>
    </xf>
    <xf numFmtId="4" fontId="58" fillId="24" borderId="0" xfId="0" applyNumberFormat="1" applyFont="1" applyFill="1" applyAlignment="1">
      <alignment horizontal="right"/>
    </xf>
    <xf numFmtId="4" fontId="69" fillId="16" borderId="0" xfId="0" applyNumberFormat="1" applyFont="1" applyFill="1" applyAlignment="1">
      <alignment horizontal="right"/>
    </xf>
    <xf numFmtId="4" fontId="57" fillId="16" borderId="0" xfId="0" applyNumberFormat="1" applyFont="1" applyFill="1" applyAlignment="1">
      <alignment horizontal="center"/>
    </xf>
    <xf numFmtId="10" fontId="73" fillId="16" borderId="0" xfId="0" applyNumberFormat="1" applyFont="1" applyFill="1" applyAlignment="1">
      <alignment horizontal="right"/>
    </xf>
    <xf numFmtId="4" fontId="58" fillId="17" borderId="0" xfId="0" applyNumberFormat="1" applyFont="1" applyFill="1" applyAlignment="1">
      <alignment horizontal="right" vertical="center" wrapText="1"/>
    </xf>
    <xf numFmtId="0" fontId="57" fillId="16" borderId="0" xfId="0" applyFont="1" applyFill="1" applyAlignment="1">
      <alignment horizontal="right"/>
    </xf>
    <xf numFmtId="4" fontId="58" fillId="0" borderId="0" xfId="0" applyNumberFormat="1" applyFont="1" applyAlignment="1">
      <alignment horizontal="right" vertical="center" wrapText="1"/>
    </xf>
    <xf numFmtId="0" fontId="59" fillId="17" borderId="0" xfId="0" applyFont="1" applyFill="1" applyAlignment="1">
      <alignment horizontal="right"/>
    </xf>
    <xf numFmtId="4" fontId="69" fillId="18" borderId="0" xfId="0" applyNumberFormat="1" applyFont="1" applyFill="1" applyAlignment="1">
      <alignment horizontal="right" vertical="center" wrapText="1"/>
    </xf>
    <xf numFmtId="0" fontId="59" fillId="17" borderId="0" xfId="0" applyFont="1" applyFill="1" applyAlignment="1">
      <alignment horizontal="center"/>
    </xf>
    <xf numFmtId="0" fontId="60" fillId="18" borderId="0" xfId="0" applyFont="1" applyFill="1" applyAlignment="1">
      <alignment horizontal="right"/>
    </xf>
    <xf numFmtId="4" fontId="58" fillId="14" borderId="0" xfId="0" applyNumberFormat="1" applyFont="1" applyFill="1" applyAlignment="1">
      <alignment horizontal="right" vertical="center" wrapText="1"/>
    </xf>
    <xf numFmtId="0" fontId="59" fillId="18" borderId="0" xfId="0" applyFont="1" applyFill="1" applyAlignment="1">
      <alignment horizontal="center"/>
    </xf>
    <xf numFmtId="4" fontId="69" fillId="14" borderId="0" xfId="0" applyNumberFormat="1" applyFont="1" applyFill="1" applyAlignment="1">
      <alignment horizontal="right" vertical="center" wrapText="1"/>
    </xf>
    <xf numFmtId="0" fontId="59" fillId="14" borderId="0" xfId="0" applyFont="1" applyFill="1" applyAlignment="1">
      <alignment horizontal="right"/>
    </xf>
    <xf numFmtId="4" fontId="74" fillId="19" borderId="0" xfId="0" applyNumberFormat="1" applyFont="1" applyFill="1" applyAlignment="1">
      <alignment horizontal="right" vertical="center" wrapText="1"/>
    </xf>
    <xf numFmtId="4" fontId="69" fillId="19" borderId="0" xfId="0" applyNumberFormat="1" applyFont="1" applyFill="1" applyAlignment="1">
      <alignment horizontal="right" vertical="center" wrapText="1"/>
    </xf>
    <xf numFmtId="0" fontId="58" fillId="0" borderId="0" xfId="0" applyFont="1" applyAlignment="1">
      <alignment horizontal="left" vertical="center" wrapText="1"/>
    </xf>
    <xf numFmtId="4" fontId="70" fillId="0" borderId="0" xfId="0" applyNumberFormat="1" applyFont="1" applyAlignment="1">
      <alignment horizontal="right" vertical="center" wrapText="1"/>
    </xf>
    <xf numFmtId="4" fontId="69" fillId="19" borderId="0" xfId="0" applyNumberFormat="1" applyFont="1" applyFill="1" applyAlignment="1">
      <alignment horizontal="center" vertical="center" wrapText="1"/>
    </xf>
    <xf numFmtId="0" fontId="58" fillId="26" borderId="0" xfId="0" applyFont="1" applyFill="1" applyAlignment="1">
      <alignment horizontal="center" vertical="center" textRotation="90" wrapText="1"/>
    </xf>
    <xf numFmtId="0" fontId="69" fillId="19" borderId="0" xfId="0" applyFont="1" applyFill="1" applyAlignment="1">
      <alignment horizontal="center" vertical="center" wrapText="1"/>
    </xf>
    <xf numFmtId="0" fontId="59" fillId="14" borderId="0" xfId="0" applyFont="1" applyFill="1" applyAlignment="1">
      <alignment horizontal="center"/>
    </xf>
    <xf numFmtId="0" fontId="71" fillId="27" borderId="0" xfId="0" applyFont="1" applyFill="1" applyAlignment="1">
      <alignment horizontal="center"/>
    </xf>
    <xf numFmtId="0" fontId="54" fillId="12" borderId="0" xfId="0" applyFont="1" applyFill="1" applyAlignment="1">
      <alignment horizontal="center"/>
    </xf>
    <xf numFmtId="0" fontId="72" fillId="27" borderId="0" xfId="0" applyFont="1" applyFill="1" applyAlignment="1">
      <alignment horizontal="center"/>
    </xf>
    <xf numFmtId="166" fontId="61" fillId="0" borderId="92" xfId="0" applyNumberFormat="1" applyFont="1" applyBorder="1" applyAlignment="1">
      <alignment horizontal="center"/>
    </xf>
    <xf numFmtId="0" fontId="61" fillId="0" borderId="92" xfId="0" applyFont="1" applyBorder="1" applyAlignment="1">
      <alignment horizontal="left"/>
    </xf>
    <xf numFmtId="165" fontId="61" fillId="0" borderId="92" xfId="0" applyNumberFormat="1" applyFont="1" applyBorder="1" applyAlignment="1">
      <alignment horizontal="right"/>
    </xf>
    <xf numFmtId="165" fontId="54" fillId="12" borderId="49" xfId="0" applyNumberFormat="1" applyFont="1" applyFill="1" applyBorder="1" applyAlignment="1">
      <alignment horizontal="right"/>
    </xf>
    <xf numFmtId="165" fontId="54" fillId="12" borderId="0" xfId="0" applyNumberFormat="1" applyFont="1" applyFill="1" applyAlignment="1">
      <alignment horizontal="right"/>
    </xf>
    <xf numFmtId="165" fontId="54" fillId="12" borderId="21" xfId="0" applyNumberFormat="1" applyFont="1" applyFill="1" applyBorder="1" applyAlignment="1">
      <alignment horizontal="right"/>
    </xf>
    <xf numFmtId="166" fontId="54" fillId="12" borderId="49" xfId="0" applyNumberFormat="1" applyFont="1" applyFill="1" applyBorder="1" applyAlignment="1">
      <alignment horizontal="center"/>
    </xf>
    <xf numFmtId="166" fontId="54" fillId="12" borderId="0" xfId="0" applyNumberFormat="1" applyFont="1" applyFill="1" applyAlignment="1">
      <alignment horizontal="center"/>
    </xf>
    <xf numFmtId="0" fontId="38" fillId="13" borderId="0" xfId="0" applyFont="1" applyFill="1" applyAlignment="1">
      <alignment horizontal="right"/>
    </xf>
    <xf numFmtId="9" fontId="54" fillId="13" borderId="0" xfId="0" applyNumberFormat="1" applyFont="1" applyFill="1" applyAlignment="1">
      <alignment horizontal="center"/>
    </xf>
    <xf numFmtId="166" fontId="24" fillId="4" borderId="92" xfId="0" applyNumberFormat="1" applyFont="1" applyFill="1" applyBorder="1" applyAlignment="1">
      <alignment horizontal="center"/>
    </xf>
    <xf numFmtId="9" fontId="54" fillId="12" borderId="22" xfId="0" applyNumberFormat="1" applyFont="1" applyFill="1" applyBorder="1" applyAlignment="1">
      <alignment horizontal="center"/>
    </xf>
    <xf numFmtId="166" fontId="24" fillId="0" borderId="92" xfId="0" applyNumberFormat="1" applyFont="1" applyBorder="1" applyAlignment="1">
      <alignment horizontal="center"/>
    </xf>
    <xf numFmtId="0" fontId="54" fillId="13" borderId="0" xfId="0" applyFont="1" applyFill="1" applyAlignment="1">
      <alignment horizontal="center"/>
    </xf>
    <xf numFmtId="4" fontId="61" fillId="0" borderId="92" xfId="0" applyNumberFormat="1" applyFont="1" applyBorder="1" applyAlignment="1">
      <alignment horizontal="center"/>
    </xf>
    <xf numFmtId="0" fontId="54" fillId="13" borderId="0" xfId="0" applyFont="1" applyFill="1" applyAlignment="1">
      <alignment horizontal="right"/>
    </xf>
    <xf numFmtId="165" fontId="61" fillId="0" borderId="92" xfId="0" applyNumberFormat="1" applyFont="1" applyBorder="1" applyAlignment="1">
      <alignment horizontal="center"/>
    </xf>
    <xf numFmtId="165" fontId="54" fillId="12" borderId="0" xfId="0" applyNumberFormat="1" applyFont="1" applyFill="1" applyAlignment="1">
      <alignment horizontal="center"/>
    </xf>
    <xf numFmtId="0" fontId="54" fillId="12" borderId="0" xfId="0" applyFont="1" applyFill="1" applyAlignment="1">
      <alignment horizontal="left"/>
    </xf>
    <xf numFmtId="0" fontId="24" fillId="0" borderId="54" xfId="0" applyFont="1" applyBorder="1" applyAlignment="1">
      <alignment horizontal="left"/>
    </xf>
    <xf numFmtId="9" fontId="24" fillId="0" borderId="54" xfId="0" applyNumberFormat="1" applyFont="1" applyBorder="1" applyAlignment="1">
      <alignment horizontal="center"/>
    </xf>
    <xf numFmtId="0" fontId="24" fillId="0" borderId="54" xfId="0" applyFont="1" applyBorder="1" applyAlignment="1">
      <alignment horizontal="center"/>
    </xf>
    <xf numFmtId="172" fontId="24" fillId="0" borderId="54" xfId="0" applyNumberFormat="1" applyFont="1" applyBorder="1" applyAlignment="1">
      <alignment horizontal="right"/>
    </xf>
    <xf numFmtId="172" fontId="31" fillId="0" borderId="54" xfId="0" applyNumberFormat="1" applyFont="1" applyBorder="1" applyAlignment="1">
      <alignment horizontal="right"/>
    </xf>
    <xf numFmtId="0" fontId="32" fillId="4" borderId="54" xfId="0" applyFont="1" applyFill="1" applyBorder="1" applyAlignment="1">
      <alignment horizontal="left"/>
    </xf>
    <xf numFmtId="0" fontId="24" fillId="4" borderId="54" xfId="0" applyFont="1" applyFill="1" applyBorder="1" applyAlignment="1">
      <alignment horizontal="center"/>
    </xf>
    <xf numFmtId="172" fontId="24" fillId="4" borderId="54" xfId="0" applyNumberFormat="1" applyFont="1" applyFill="1" applyBorder="1" applyAlignment="1">
      <alignment horizontal="right"/>
    </xf>
    <xf numFmtId="172" fontId="31" fillId="4" borderId="54" xfId="0" applyNumberFormat="1" applyFont="1" applyFill="1" applyBorder="1" applyAlignment="1">
      <alignment horizontal="right"/>
    </xf>
    <xf numFmtId="172" fontId="61" fillId="4" borderId="54" xfId="0" applyNumberFormat="1" applyFont="1" applyFill="1" applyBorder="1" applyAlignment="1">
      <alignment horizontal="right"/>
    </xf>
    <xf numFmtId="172" fontId="75" fillId="4" borderId="54" xfId="0" applyNumberFormat="1" applyFont="1" applyFill="1" applyBorder="1" applyAlignment="1">
      <alignment horizontal="right"/>
    </xf>
    <xf numFmtId="0" fontId="32" fillId="5" borderId="0" xfId="0" applyFont="1" applyFill="1" applyAlignment="1">
      <alignment horizontal="left"/>
    </xf>
    <xf numFmtId="9" fontId="24" fillId="5" borderId="0" xfId="0" applyNumberFormat="1" applyFont="1" applyFill="1" applyAlignment="1">
      <alignment horizontal="center"/>
    </xf>
    <xf numFmtId="0" fontId="24" fillId="5" borderId="0" xfId="0" applyFont="1" applyFill="1" applyAlignment="1">
      <alignment horizontal="center"/>
    </xf>
    <xf numFmtId="172" fontId="32" fillId="5" borderId="0" xfId="0" applyNumberFormat="1" applyFont="1" applyFill="1" applyAlignment="1">
      <alignment horizontal="right"/>
    </xf>
    <xf numFmtId="172" fontId="34" fillId="5" borderId="0" xfId="0" applyNumberFormat="1" applyFont="1" applyFill="1" applyAlignment="1">
      <alignment horizontal="right"/>
    </xf>
    <xf numFmtId="165" fontId="54" fillId="12" borderId="0" xfId="0" applyNumberFormat="1" applyFont="1" applyFill="1" applyAlignment="1">
      <alignment horizontal="left" vertical="center"/>
    </xf>
    <xf numFmtId="165" fontId="61" fillId="26" borderId="57" xfId="0" applyNumberFormat="1" applyFont="1" applyFill="1" applyBorder="1" applyAlignment="1">
      <alignment horizontal="left" vertical="center"/>
    </xf>
    <xf numFmtId="0" fontId="32" fillId="0" borderId="54" xfId="0" applyFont="1" applyBorder="1" applyAlignment="1">
      <alignment horizontal="left"/>
    </xf>
    <xf numFmtId="9" fontId="24" fillId="0" borderId="0" xfId="0" applyNumberFormat="1" applyFont="1" applyAlignment="1">
      <alignment horizontal="center"/>
    </xf>
    <xf numFmtId="0" fontId="24" fillId="3" borderId="0" xfId="0" applyFont="1" applyFill="1" applyAlignment="1">
      <alignment horizontal="left"/>
    </xf>
    <xf numFmtId="9" fontId="24" fillId="3" borderId="0" xfId="0" applyNumberFormat="1" applyFont="1" applyFill="1" applyAlignment="1">
      <alignment horizontal="center"/>
    </xf>
    <xf numFmtId="0" fontId="24" fillId="3" borderId="0" xfId="0" applyFont="1" applyFill="1" applyAlignment="1">
      <alignment horizontal="center"/>
    </xf>
    <xf numFmtId="0" fontId="32" fillId="0" borderId="0" xfId="0" applyFont="1" applyAlignment="1">
      <alignment horizontal="left"/>
    </xf>
    <xf numFmtId="172" fontId="32" fillId="0" borderId="54" xfId="0" applyNumberFormat="1" applyFont="1" applyBorder="1" applyAlignment="1">
      <alignment horizontal="right"/>
    </xf>
    <xf numFmtId="172" fontId="34" fillId="0" borderId="54" xfId="0" applyNumberFormat="1" applyFont="1" applyBorder="1" applyAlignment="1">
      <alignment horizontal="right"/>
    </xf>
    <xf numFmtId="0" fontId="43" fillId="0" borderId="8" xfId="0" applyFont="1" applyBorder="1" applyAlignment="1">
      <alignment horizontal="center" vertical="center"/>
    </xf>
    <xf numFmtId="0" fontId="24" fillId="0" borderId="0" xfId="0" applyFont="1" applyAlignment="1">
      <alignment horizontal="left"/>
    </xf>
    <xf numFmtId="0" fontId="24" fillId="0" borderId="0" xfId="0" applyFont="1" applyAlignment="1">
      <alignment horizontal="left" vertical="center" wrapText="1"/>
    </xf>
    <xf numFmtId="4" fontId="24" fillId="0" borderId="0" xfId="0" applyNumberFormat="1" applyFont="1" applyAlignment="1">
      <alignment horizontal="center" vertical="center"/>
    </xf>
    <xf numFmtId="0" fontId="63" fillId="0" borderId="0" xfId="0" applyFont="1" applyAlignment="1">
      <alignment horizontal="left"/>
    </xf>
    <xf numFmtId="165" fontId="24" fillId="0" borderId="0" xfId="0" applyNumberFormat="1" applyFont="1" applyAlignment="1">
      <alignment horizontal="center" vertical="center"/>
    </xf>
    <xf numFmtId="0" fontId="24" fillId="0" borderId="0" xfId="0" applyFont="1" applyAlignment="1">
      <alignment horizontal="center" vertical="center"/>
    </xf>
    <xf numFmtId="9" fontId="54" fillId="12" borderId="0" xfId="0" applyNumberFormat="1" applyFont="1" applyFill="1" applyAlignment="1">
      <alignment horizontal="center"/>
    </xf>
    <xf numFmtId="0" fontId="24" fillId="0" borderId="0" xfId="0" applyFont="1" applyAlignment="1">
      <alignment horizontal="center"/>
    </xf>
    <xf numFmtId="166" fontId="24" fillId="0" borderId="0" xfId="0" applyNumberFormat="1" applyFont="1" applyAlignment="1">
      <alignment horizontal="center"/>
    </xf>
    <xf numFmtId="9" fontId="25" fillId="5" borderId="0" xfId="0" applyNumberFormat="1" applyFont="1" applyFill="1" applyAlignment="1">
      <alignment horizontal="center" vertical="center"/>
    </xf>
    <xf numFmtId="0" fontId="25" fillId="5" borderId="0" xfId="0" applyFont="1" applyFill="1" applyAlignment="1">
      <alignment horizontal="center" vertical="center"/>
    </xf>
    <xf numFmtId="0" fontId="61" fillId="26" borderId="0" xfId="0" applyFont="1" applyFill="1" applyAlignment="1">
      <alignment horizontal="left"/>
    </xf>
    <xf numFmtId="165" fontId="24" fillId="0" borderId="54" xfId="0" applyNumberFormat="1" applyFont="1" applyBorder="1" applyAlignment="1">
      <alignment horizontal="right"/>
    </xf>
    <xf numFmtId="166" fontId="24" fillId="0" borderId="54" xfId="0" applyNumberFormat="1" applyFont="1" applyBorder="1" applyAlignment="1">
      <alignment horizontal="center"/>
    </xf>
    <xf numFmtId="9" fontId="38" fillId="13" borderId="0" xfId="0" applyNumberFormat="1" applyFont="1" applyFill="1" applyAlignment="1">
      <alignment horizontal="center"/>
    </xf>
    <xf numFmtId="0" fontId="24" fillId="0" borderId="58" xfId="0" applyFont="1" applyBorder="1" applyAlignment="1">
      <alignment horizontal="center"/>
    </xf>
    <xf numFmtId="0" fontId="24" fillId="0" borderId="59" xfId="0" applyFont="1" applyBorder="1" applyAlignment="1">
      <alignment horizontal="center"/>
    </xf>
    <xf numFmtId="0" fontId="24" fillId="0" borderId="60" xfId="0" applyFont="1" applyBorder="1" applyAlignment="1">
      <alignment horizontal="center"/>
    </xf>
    <xf numFmtId="0" fontId="24" fillId="0" borderId="61" xfId="0" applyFont="1" applyBorder="1" applyAlignment="1">
      <alignment horizontal="center"/>
    </xf>
    <xf numFmtId="9" fontId="25" fillId="0" borderId="54" xfId="0" applyNumberFormat="1" applyFont="1" applyBorder="1" applyAlignment="1">
      <alignment horizontal="center"/>
    </xf>
    <xf numFmtId="0" fontId="25" fillId="0" borderId="54" xfId="0" applyFont="1" applyBorder="1" applyAlignment="1">
      <alignment horizontal="center"/>
    </xf>
    <xf numFmtId="0" fontId="24" fillId="0" borderId="54" xfId="0" applyFont="1" applyBorder="1" applyAlignment="1">
      <alignment horizontal="right"/>
    </xf>
    <xf numFmtId="0" fontId="63" fillId="2" borderId="64" xfId="0" applyFont="1" applyFill="1" applyBorder="1" applyAlignment="1">
      <alignment horizontal="left"/>
    </xf>
    <xf numFmtId="0" fontId="24" fillId="2" borderId="64" xfId="0" applyFont="1" applyFill="1" applyBorder="1" applyAlignment="1">
      <alignment horizontal="left"/>
    </xf>
    <xf numFmtId="165" fontId="24" fillId="2" borderId="49" xfId="0" applyNumberFormat="1" applyFont="1" applyFill="1" applyBorder="1" applyAlignment="1">
      <alignment horizontal="right"/>
    </xf>
    <xf numFmtId="165" fontId="24" fillId="2" borderId="0" xfId="0" applyNumberFormat="1" applyFont="1" applyFill="1" applyAlignment="1">
      <alignment horizontal="right"/>
    </xf>
    <xf numFmtId="165" fontId="24" fillId="2" borderId="21" xfId="0" applyNumberFormat="1" applyFont="1" applyFill="1" applyBorder="1" applyAlignment="1">
      <alignment horizontal="right"/>
    </xf>
    <xf numFmtId="0" fontId="54" fillId="13" borderId="0" xfId="0" applyFont="1" applyFill="1" applyAlignment="1">
      <alignment horizontal="left"/>
    </xf>
    <xf numFmtId="165" fontId="54" fillId="13" borderId="22" xfId="0" applyNumberFormat="1" applyFont="1" applyFill="1" applyBorder="1" applyAlignment="1">
      <alignment horizontal="right"/>
    </xf>
    <xf numFmtId="9" fontId="54" fillId="13" borderId="22" xfId="0" applyNumberFormat="1" applyFont="1" applyFill="1" applyBorder="1" applyAlignment="1">
      <alignment horizontal="right"/>
    </xf>
    <xf numFmtId="9" fontId="24" fillId="5" borderId="54" xfId="0" applyNumberFormat="1" applyFont="1" applyFill="1" applyBorder="1" applyAlignment="1">
      <alignment horizontal="center"/>
    </xf>
    <xf numFmtId="0" fontId="24" fillId="5" borderId="54" xfId="0" applyFont="1" applyFill="1" applyBorder="1" applyAlignment="1">
      <alignment horizontal="center"/>
    </xf>
    <xf numFmtId="0" fontId="32" fillId="2" borderId="64" xfId="0" applyFont="1" applyFill="1" applyBorder="1" applyAlignment="1">
      <alignment horizontal="left"/>
    </xf>
    <xf numFmtId="165" fontId="32" fillId="2" borderId="49" xfId="0" applyNumberFormat="1" applyFont="1" applyFill="1" applyBorder="1" applyAlignment="1">
      <alignment horizontal="right"/>
    </xf>
    <xf numFmtId="0" fontId="32" fillId="2" borderId="0" xfId="0" applyFont="1" applyFill="1" applyAlignment="1">
      <alignment horizontal="right"/>
    </xf>
    <xf numFmtId="0" fontId="32" fillId="2" borderId="21" xfId="0" applyFont="1" applyFill="1" applyBorder="1" applyAlignment="1">
      <alignment horizontal="right"/>
    </xf>
    <xf numFmtId="9" fontId="25" fillId="5" borderId="54" xfId="0" applyNumberFormat="1" applyFont="1" applyFill="1" applyBorder="1" applyAlignment="1">
      <alignment horizontal="center"/>
    </xf>
    <xf numFmtId="0" fontId="25" fillId="5" borderId="54" xfId="0" applyFont="1" applyFill="1" applyBorder="1" applyAlignment="1">
      <alignment horizontal="center"/>
    </xf>
    <xf numFmtId="0" fontId="24" fillId="0" borderId="62" xfId="0" applyFont="1" applyBorder="1" applyAlignment="1">
      <alignment horizontal="center"/>
    </xf>
    <xf numFmtId="0" fontId="24" fillId="0" borderId="63" xfId="0" applyFont="1" applyBorder="1" applyAlignment="1">
      <alignment horizontal="center"/>
    </xf>
    <xf numFmtId="166" fontId="24" fillId="2" borderId="49" xfId="0" applyNumberFormat="1" applyFont="1" applyFill="1" applyBorder="1" applyAlignment="1">
      <alignment horizontal="center"/>
    </xf>
    <xf numFmtId="166" fontId="24" fillId="2" borderId="0" xfId="0" applyNumberFormat="1" applyFont="1" applyFill="1" applyAlignment="1">
      <alignment horizontal="center"/>
    </xf>
    <xf numFmtId="9" fontId="54" fillId="13" borderId="56" xfId="0" applyNumberFormat="1" applyFont="1" applyFill="1" applyBorder="1" applyAlignment="1">
      <alignment horizontal="center"/>
    </xf>
    <xf numFmtId="166" fontId="24" fillId="4" borderId="54" xfId="0" applyNumberFormat="1" applyFont="1" applyFill="1" applyBorder="1" applyAlignment="1">
      <alignment horizontal="center"/>
    </xf>
    <xf numFmtId="0" fontId="63" fillId="4" borderId="51" xfId="0" applyFont="1" applyFill="1" applyBorder="1" applyAlignment="1">
      <alignment horizontal="left"/>
    </xf>
    <xf numFmtId="0" fontId="63" fillId="4" borderId="52" xfId="0" applyFont="1" applyFill="1" applyBorder="1" applyAlignment="1">
      <alignment horizontal="left"/>
    </xf>
    <xf numFmtId="0" fontId="63" fillId="4" borderId="53" xfId="0" applyFont="1" applyFill="1" applyBorder="1" applyAlignment="1">
      <alignment horizontal="left"/>
    </xf>
    <xf numFmtId="0" fontId="63" fillId="0" borderId="51" xfId="0" applyFont="1" applyBorder="1" applyAlignment="1">
      <alignment horizontal="left"/>
    </xf>
    <xf numFmtId="0" fontId="63" fillId="0" borderId="52" xfId="0" applyFont="1" applyBorder="1" applyAlignment="1">
      <alignment horizontal="left"/>
    </xf>
    <xf numFmtId="0" fontId="63" fillId="0" borderId="53" xfId="0" applyFont="1" applyBorder="1" applyAlignment="1">
      <alignment horizontal="left"/>
    </xf>
    <xf numFmtId="0" fontId="24" fillId="0" borderId="8" xfId="0" applyFont="1" applyBorder="1" applyAlignment="1">
      <alignment horizontal="left"/>
    </xf>
    <xf numFmtId="0" fontId="24" fillId="0" borderId="9" xfId="0" applyFont="1" applyBorder="1" applyAlignment="1">
      <alignment horizontal="left"/>
    </xf>
    <xf numFmtId="0" fontId="24" fillId="0" borderId="2" xfId="0" applyFont="1" applyBorder="1" applyAlignment="1">
      <alignment horizontal="left"/>
    </xf>
    <xf numFmtId="4" fontId="25" fillId="0" borderId="8" xfId="0" applyNumberFormat="1" applyFont="1" applyBorder="1" applyAlignment="1">
      <alignment horizontal="center"/>
    </xf>
    <xf numFmtId="4" fontId="25" fillId="0" borderId="9" xfId="0" applyNumberFormat="1" applyFont="1" applyBorder="1" applyAlignment="1">
      <alignment horizontal="center"/>
    </xf>
    <xf numFmtId="4" fontId="25" fillId="0" borderId="2" xfId="0" applyNumberFormat="1" applyFont="1" applyBorder="1" applyAlignment="1">
      <alignment horizontal="center"/>
    </xf>
    <xf numFmtId="165" fontId="25" fillId="0" borderId="8" xfId="0" applyNumberFormat="1" applyFont="1" applyBorder="1" applyAlignment="1">
      <alignment horizontal="center"/>
    </xf>
    <xf numFmtId="165" fontId="25" fillId="0" borderId="9" xfId="0" applyNumberFormat="1" applyFont="1" applyBorder="1" applyAlignment="1">
      <alignment horizontal="center"/>
    </xf>
    <xf numFmtId="165" fontId="25" fillId="0" borderId="2" xfId="0" applyNumberFormat="1" applyFont="1" applyBorder="1" applyAlignment="1">
      <alignment horizontal="center"/>
    </xf>
    <xf numFmtId="165" fontId="24" fillId="0" borderId="8" xfId="0" applyNumberFormat="1" applyFont="1" applyBorder="1" applyAlignment="1">
      <alignment horizontal="center"/>
    </xf>
    <xf numFmtId="165" fontId="24" fillId="0" borderId="9" xfId="0" applyNumberFormat="1" applyFont="1" applyBorder="1" applyAlignment="1">
      <alignment horizontal="center"/>
    </xf>
    <xf numFmtId="165" fontId="24" fillId="0" borderId="2" xfId="0" applyNumberFormat="1" applyFont="1" applyBorder="1" applyAlignment="1">
      <alignment horizontal="center"/>
    </xf>
    <xf numFmtId="0" fontId="38" fillId="13" borderId="22" xfId="0" applyFont="1" applyFill="1" applyBorder="1" applyAlignment="1">
      <alignment horizontal="center"/>
    </xf>
    <xf numFmtId="0" fontId="38" fillId="13" borderId="8" xfId="0" applyFont="1" applyFill="1" applyBorder="1" applyAlignment="1">
      <alignment horizontal="center" vertical="center" wrapText="1"/>
    </xf>
    <xf numFmtId="0" fontId="38" fillId="13" borderId="9" xfId="0" applyFont="1" applyFill="1" applyBorder="1" applyAlignment="1">
      <alignment horizontal="center" vertical="center" wrapText="1"/>
    </xf>
    <xf numFmtId="0" fontId="38" fillId="13" borderId="2" xfId="0" applyFont="1" applyFill="1" applyBorder="1" applyAlignment="1">
      <alignment horizontal="center" vertical="center" wrapText="1"/>
    </xf>
    <xf numFmtId="0" fontId="24" fillId="5" borderId="3" xfId="0" applyFont="1" applyFill="1" applyBorder="1" applyAlignment="1">
      <alignment horizontal="left"/>
    </xf>
    <xf numFmtId="0" fontId="24" fillId="5" borderId="8" xfId="0" applyFont="1" applyFill="1" applyBorder="1" applyAlignment="1">
      <alignment horizontal="left"/>
    </xf>
    <xf numFmtId="0" fontId="24" fillId="5" borderId="8" xfId="0" applyFont="1" applyFill="1" applyBorder="1" applyAlignment="1">
      <alignment horizontal="center"/>
    </xf>
    <xf numFmtId="0" fontId="24" fillId="5" borderId="9" xfId="0" applyFont="1" applyFill="1" applyBorder="1" applyAlignment="1">
      <alignment horizontal="center"/>
    </xf>
    <xf numFmtId="0" fontId="24" fillId="5" borderId="2" xfId="0" applyFont="1" applyFill="1" applyBorder="1" applyAlignment="1">
      <alignment horizontal="center"/>
    </xf>
    <xf numFmtId="165" fontId="24" fillId="5" borderId="8" xfId="0" applyNumberFormat="1" applyFont="1" applyFill="1" applyBorder="1" applyAlignment="1">
      <alignment horizontal="center"/>
    </xf>
    <xf numFmtId="165" fontId="24" fillId="5" borderId="9" xfId="0" applyNumberFormat="1" applyFont="1" applyFill="1" applyBorder="1" applyAlignment="1">
      <alignment horizontal="center"/>
    </xf>
    <xf numFmtId="165" fontId="24" fillId="5" borderId="2" xfId="0" applyNumberFormat="1" applyFont="1" applyFill="1" applyBorder="1" applyAlignment="1">
      <alignment horizontal="center"/>
    </xf>
    <xf numFmtId="165" fontId="24" fillId="5" borderId="8" xfId="0" applyNumberFormat="1" applyFont="1" applyFill="1" applyBorder="1" applyAlignment="1">
      <alignment horizontal="right"/>
    </xf>
    <xf numFmtId="165" fontId="24" fillId="5" borderId="9" xfId="0" applyNumberFormat="1" applyFont="1" applyFill="1" applyBorder="1" applyAlignment="1">
      <alignment horizontal="right"/>
    </xf>
    <xf numFmtId="165" fontId="24" fillId="5" borderId="2" xfId="0" applyNumberFormat="1" applyFont="1" applyFill="1" applyBorder="1" applyAlignment="1">
      <alignment horizontal="right"/>
    </xf>
    <xf numFmtId="4" fontId="24" fillId="5" borderId="8" xfId="0" applyNumberFormat="1" applyFont="1" applyFill="1" applyBorder="1" applyAlignment="1">
      <alignment horizontal="center"/>
    </xf>
    <xf numFmtId="4" fontId="24" fillId="5" borderId="9" xfId="0" applyNumberFormat="1" applyFont="1" applyFill="1" applyBorder="1" applyAlignment="1">
      <alignment horizontal="center"/>
    </xf>
    <xf numFmtId="4" fontId="24" fillId="5" borderId="2" xfId="0" applyNumberFormat="1" applyFont="1" applyFill="1" applyBorder="1" applyAlignment="1">
      <alignment horizontal="center"/>
    </xf>
    <xf numFmtId="0" fontId="24" fillId="0" borderId="8" xfId="0" applyFont="1" applyBorder="1" applyAlignment="1">
      <alignment horizontal="center"/>
    </xf>
    <xf numFmtId="0" fontId="24" fillId="0" borderId="9" xfId="0" applyFont="1" applyBorder="1" applyAlignment="1">
      <alignment horizontal="center"/>
    </xf>
    <xf numFmtId="0" fontId="24" fillId="0" borderId="2" xfId="0" applyFont="1" applyBorder="1" applyAlignment="1">
      <alignment horizontal="center"/>
    </xf>
    <xf numFmtId="4" fontId="24" fillId="0" borderId="8" xfId="0" applyNumberFormat="1" applyFont="1" applyBorder="1" applyAlignment="1">
      <alignment horizontal="center"/>
    </xf>
    <xf numFmtId="4" fontId="24" fillId="0" borderId="9" xfId="0" applyNumberFormat="1" applyFont="1" applyBorder="1" applyAlignment="1">
      <alignment horizontal="center"/>
    </xf>
    <xf numFmtId="4" fontId="24" fillId="0" borderId="2" xfId="0" applyNumberFormat="1" applyFont="1" applyBorder="1" applyAlignment="1">
      <alignment horizontal="center"/>
    </xf>
    <xf numFmtId="165" fontId="76" fillId="5" borderId="8" xfId="0" applyNumberFormat="1" applyFont="1" applyFill="1" applyBorder="1" applyAlignment="1">
      <alignment horizontal="center"/>
    </xf>
    <xf numFmtId="165" fontId="76" fillId="5" borderId="9" xfId="0" applyNumberFormat="1" applyFont="1" applyFill="1" applyBorder="1" applyAlignment="1">
      <alignment horizontal="center"/>
    </xf>
    <xf numFmtId="165" fontId="76" fillId="5" borderId="2" xfId="0" applyNumberFormat="1" applyFont="1" applyFill="1" applyBorder="1" applyAlignment="1">
      <alignment horizontal="center"/>
    </xf>
    <xf numFmtId="0" fontId="32" fillId="13" borderId="0" xfId="0" applyFont="1" applyFill="1" applyAlignment="1">
      <alignment horizontal="left"/>
    </xf>
    <xf numFmtId="165" fontId="32" fillId="13" borderId="9" xfId="0" applyNumberFormat="1" applyFont="1" applyFill="1" applyBorder="1" applyAlignment="1">
      <alignment horizontal="right"/>
    </xf>
    <xf numFmtId="165" fontId="32" fillId="13" borderId="2" xfId="0" applyNumberFormat="1" applyFont="1" applyFill="1" applyBorder="1" applyAlignment="1">
      <alignment horizontal="right"/>
    </xf>
    <xf numFmtId="0" fontId="32" fillId="2" borderId="3" xfId="0" applyFont="1" applyFill="1" applyBorder="1" applyAlignment="1">
      <alignment horizontal="left"/>
    </xf>
    <xf numFmtId="165" fontId="24" fillId="2" borderId="9" xfId="0" applyNumberFormat="1" applyFont="1" applyFill="1" applyBorder="1" applyAlignment="1">
      <alignment horizontal="right"/>
    </xf>
    <xf numFmtId="165" fontId="24" fillId="2" borderId="2" xfId="0" applyNumberFormat="1" applyFont="1" applyFill="1" applyBorder="1" applyAlignment="1">
      <alignment horizontal="right"/>
    </xf>
    <xf numFmtId="0" fontId="24" fillId="0" borderId="3" xfId="0" applyFont="1" applyBorder="1" applyAlignment="1">
      <alignment horizontal="left"/>
    </xf>
    <xf numFmtId="9" fontId="25" fillId="0" borderId="8" xfId="0" applyNumberFormat="1" applyFont="1" applyBorder="1" applyAlignment="1">
      <alignment horizontal="center"/>
    </xf>
    <xf numFmtId="0" fontId="25" fillId="0" borderId="9" xfId="0" applyFont="1" applyBorder="1" applyAlignment="1">
      <alignment horizontal="center"/>
    </xf>
    <xf numFmtId="0" fontId="25" fillId="0" borderId="2" xfId="0" applyFont="1" applyBorder="1" applyAlignment="1">
      <alignment horizontal="center"/>
    </xf>
    <xf numFmtId="165" fontId="24" fillId="0" borderId="8" xfId="0" applyNumberFormat="1" applyFont="1" applyBorder="1" applyAlignment="1">
      <alignment horizontal="right"/>
    </xf>
    <xf numFmtId="165" fontId="24" fillId="0" borderId="9" xfId="0" applyNumberFormat="1" applyFont="1" applyBorder="1" applyAlignment="1">
      <alignment horizontal="right"/>
    </xf>
    <xf numFmtId="165" fontId="24" fillId="0" borderId="2" xfId="0" applyNumberFormat="1" applyFont="1" applyBorder="1" applyAlignment="1">
      <alignment horizontal="right"/>
    </xf>
    <xf numFmtId="165" fontId="32" fillId="2" borderId="9" xfId="0" applyNumberFormat="1" applyFont="1" applyFill="1" applyBorder="1" applyAlignment="1">
      <alignment horizontal="right"/>
    </xf>
    <xf numFmtId="165" fontId="32" fillId="2" borderId="2" xfId="0" applyNumberFormat="1" applyFont="1" applyFill="1" applyBorder="1" applyAlignment="1">
      <alignment horizontal="right"/>
    </xf>
    <xf numFmtId="9" fontId="24" fillId="0" borderId="8" xfId="0" applyNumberFormat="1" applyFont="1" applyBorder="1" applyAlignment="1">
      <alignment horizontal="center"/>
    </xf>
    <xf numFmtId="0" fontId="38" fillId="13" borderId="22" xfId="0" applyFont="1" applyFill="1" applyBorder="1" applyAlignment="1">
      <alignment horizontal="center" vertical="center"/>
    </xf>
    <xf numFmtId="0" fontId="38" fillId="13" borderId="23" xfId="0" applyFont="1" applyFill="1" applyBorder="1" applyAlignment="1">
      <alignment horizontal="center" vertical="center"/>
    </xf>
    <xf numFmtId="165" fontId="24" fillId="0" borderId="3" xfId="0" applyNumberFormat="1" applyFont="1" applyBorder="1" applyAlignment="1">
      <alignment horizontal="right"/>
    </xf>
    <xf numFmtId="166" fontId="25" fillId="0" borderId="8" xfId="0" applyNumberFormat="1" applyFont="1" applyBorder="1" applyAlignment="1">
      <alignment horizontal="right"/>
    </xf>
    <xf numFmtId="166" fontId="25" fillId="0" borderId="9" xfId="0" applyNumberFormat="1" applyFont="1" applyBorder="1" applyAlignment="1">
      <alignment horizontal="right"/>
    </xf>
    <xf numFmtId="166" fontId="25" fillId="0" borderId="2" xfId="0" applyNumberFormat="1" applyFont="1" applyBorder="1" applyAlignment="1">
      <alignment horizontal="right"/>
    </xf>
    <xf numFmtId="3" fontId="24" fillId="4" borderId="3" xfId="0" applyNumberFormat="1" applyFont="1" applyFill="1" applyBorder="1" applyAlignment="1">
      <alignment horizontal="center"/>
    </xf>
    <xf numFmtId="165" fontId="24" fillId="4" borderId="3" xfId="0" applyNumberFormat="1" applyFont="1" applyFill="1" applyBorder="1" applyAlignment="1">
      <alignment horizontal="center"/>
    </xf>
    <xf numFmtId="0" fontId="24" fillId="5" borderId="24" xfId="0" applyFont="1" applyFill="1" applyBorder="1" applyAlignment="1">
      <alignment horizontal="center" vertical="center" wrapText="1"/>
    </xf>
    <xf numFmtId="0" fontId="24" fillId="5" borderId="23" xfId="0" applyFont="1" applyFill="1" applyBorder="1" applyAlignment="1">
      <alignment horizontal="center" vertical="center" wrapText="1"/>
    </xf>
    <xf numFmtId="0" fontId="24" fillId="5" borderId="22" xfId="0" applyFont="1" applyFill="1" applyBorder="1" applyAlignment="1">
      <alignment horizontal="center" vertical="center" wrapText="1"/>
    </xf>
    <xf numFmtId="165" fontId="24" fillId="4" borderId="3" xfId="0" applyNumberFormat="1" applyFont="1" applyFill="1" applyBorder="1" applyAlignment="1">
      <alignment horizontal="right"/>
    </xf>
    <xf numFmtId="0" fontId="25" fillId="3" borderId="3" xfId="0" applyFont="1" applyFill="1" applyBorder="1" applyAlignment="1">
      <alignment horizontal="center"/>
    </xf>
    <xf numFmtId="170" fontId="25" fillId="3" borderId="3" xfId="0" applyNumberFormat="1" applyFont="1" applyFill="1" applyBorder="1" applyAlignment="1">
      <alignment horizontal="center"/>
    </xf>
    <xf numFmtId="3" fontId="24" fillId="3" borderId="3" xfId="0" applyNumberFormat="1" applyFont="1" applyFill="1" applyBorder="1" applyAlignment="1">
      <alignment horizontal="center"/>
    </xf>
    <xf numFmtId="165" fontId="24" fillId="3" borderId="3" xfId="0" applyNumberFormat="1" applyFont="1" applyFill="1" applyBorder="1" applyAlignment="1">
      <alignment horizontal="center"/>
    </xf>
    <xf numFmtId="0" fontId="25" fillId="4" borderId="3" xfId="0" applyFont="1" applyFill="1" applyBorder="1" applyAlignment="1">
      <alignment horizontal="center"/>
    </xf>
    <xf numFmtId="170" fontId="25" fillId="4" borderId="3" xfId="0" applyNumberFormat="1" applyFont="1" applyFill="1" applyBorder="1" applyAlignment="1">
      <alignment horizontal="center"/>
    </xf>
    <xf numFmtId="165" fontId="24" fillId="3" borderId="3" xfId="0" applyNumberFormat="1" applyFont="1" applyFill="1" applyBorder="1" applyAlignment="1">
      <alignment horizontal="right"/>
    </xf>
    <xf numFmtId="0" fontId="54" fillId="12" borderId="3" xfId="0" applyFont="1" applyFill="1" applyBorder="1" applyAlignment="1">
      <alignment horizontal="left"/>
    </xf>
    <xf numFmtId="165" fontId="54" fillId="12" borderId="9" xfId="0" applyNumberFormat="1" applyFont="1" applyFill="1" applyBorder="1" applyAlignment="1">
      <alignment horizontal="right"/>
    </xf>
    <xf numFmtId="0" fontId="24" fillId="3" borderId="3" xfId="0" applyFont="1" applyFill="1" applyBorder="1" applyAlignment="1">
      <alignment horizontal="center"/>
    </xf>
    <xf numFmtId="170" fontId="24" fillId="3" borderId="3" xfId="0" applyNumberFormat="1" applyFont="1" applyFill="1" applyBorder="1" applyAlignment="1">
      <alignment horizontal="center"/>
    </xf>
    <xf numFmtId="0" fontId="24" fillId="3" borderId="0" xfId="0" applyFont="1" applyFill="1" applyAlignment="1">
      <alignment horizontal="left" vertical="center"/>
    </xf>
    <xf numFmtId="0" fontId="24" fillId="3" borderId="21" xfId="0" applyFont="1" applyFill="1" applyBorder="1" applyAlignment="1">
      <alignment horizontal="left" vertical="center"/>
    </xf>
    <xf numFmtId="0" fontId="38" fillId="25" borderId="0" xfId="0" applyFont="1" applyFill="1" applyAlignment="1">
      <alignment horizontal="center" vertical="center"/>
    </xf>
    <xf numFmtId="0" fontId="23" fillId="25" borderId="0" xfId="0" applyFont="1" applyFill="1" applyAlignment="1">
      <alignment horizontal="center" vertical="center"/>
    </xf>
    <xf numFmtId="0" fontId="40" fillId="12" borderId="0" xfId="0" applyFont="1" applyFill="1" applyAlignment="1">
      <alignment horizontal="left" vertical="center"/>
    </xf>
    <xf numFmtId="0" fontId="38" fillId="12" borderId="0" xfId="0" applyFont="1" applyFill="1" applyAlignment="1">
      <alignment horizontal="center" vertical="center" wrapText="1"/>
    </xf>
    <xf numFmtId="0" fontId="38" fillId="13" borderId="3" xfId="0" applyFont="1" applyFill="1" applyBorder="1" applyAlignment="1">
      <alignment horizontal="center" vertical="center" wrapText="1"/>
    </xf>
    <xf numFmtId="0" fontId="24" fillId="4" borderId="19" xfId="0" applyFont="1" applyFill="1" applyBorder="1" applyAlignment="1">
      <alignment horizontal="left" vertical="center"/>
    </xf>
    <xf numFmtId="0" fontId="24" fillId="4" borderId="20" xfId="0" applyFont="1" applyFill="1" applyBorder="1" applyAlignment="1">
      <alignment horizontal="left" vertical="center"/>
    </xf>
    <xf numFmtId="0" fontId="24" fillId="4" borderId="25" xfId="0" applyFont="1" applyFill="1" applyBorder="1" applyAlignment="1">
      <alignment horizontal="center" vertical="center" textRotation="90"/>
    </xf>
    <xf numFmtId="0" fontId="24" fillId="4" borderId="49" xfId="0" applyFont="1" applyFill="1" applyBorder="1" applyAlignment="1">
      <alignment horizontal="center" vertical="center" textRotation="90"/>
    </xf>
    <xf numFmtId="0" fontId="24" fillId="4" borderId="24" xfId="0" applyFont="1" applyFill="1" applyBorder="1" applyAlignment="1">
      <alignment horizontal="center" vertical="center" textRotation="90"/>
    </xf>
    <xf numFmtId="0" fontId="32" fillId="14" borderId="0" xfId="0" applyFont="1" applyFill="1" applyAlignment="1">
      <alignment horizontal="center" vertical="center"/>
    </xf>
    <xf numFmtId="0" fontId="24" fillId="3" borderId="25" xfId="0" applyFont="1" applyFill="1" applyBorder="1" applyAlignment="1">
      <alignment horizontal="center" vertical="center" textRotation="90" wrapText="1"/>
    </xf>
    <xf numFmtId="0" fontId="24" fillId="3" borderId="49" xfId="0" applyFont="1" applyFill="1" applyBorder="1" applyAlignment="1">
      <alignment horizontal="center" vertical="center" textRotation="90" wrapText="1"/>
    </xf>
    <xf numFmtId="0" fontId="24" fillId="4" borderId="25" xfId="0" applyFont="1" applyFill="1" applyBorder="1" applyAlignment="1">
      <alignment horizontal="center" vertical="center" textRotation="90" wrapText="1"/>
    </xf>
    <xf numFmtId="0" fontId="24" fillId="4" borderId="49" xfId="0" applyFont="1" applyFill="1" applyBorder="1" applyAlignment="1">
      <alignment horizontal="center" vertical="center" textRotation="90" wrapText="1"/>
    </xf>
    <xf numFmtId="0" fontId="24" fillId="4" borderId="24" xfId="0" applyFont="1" applyFill="1" applyBorder="1" applyAlignment="1">
      <alignment horizontal="center" vertical="center" textRotation="90" wrapText="1"/>
    </xf>
    <xf numFmtId="0" fontId="77" fillId="12" borderId="0" xfId="0" applyFont="1" applyFill="1" applyAlignment="1">
      <alignment horizontal="center" vertical="center"/>
    </xf>
    <xf numFmtId="2" fontId="35" fillId="26" borderId="19" xfId="0" applyNumberFormat="1" applyFont="1" applyFill="1" applyBorder="1" applyAlignment="1">
      <alignment horizontal="center" vertical="center" wrapText="1"/>
    </xf>
    <xf numFmtId="0" fontId="38" fillId="12" borderId="0" xfId="0" applyFont="1" applyFill="1" applyAlignment="1">
      <alignment horizontal="right"/>
    </xf>
    <xf numFmtId="0" fontId="77" fillId="13" borderId="0" xfId="0" applyFont="1" applyFill="1" applyAlignment="1">
      <alignment horizontal="center" vertical="center"/>
    </xf>
    <xf numFmtId="2" fontId="35" fillId="2" borderId="19" xfId="0" applyNumberFormat="1" applyFont="1" applyFill="1" applyBorder="1" applyAlignment="1">
      <alignment horizontal="center" vertical="center" wrapText="1"/>
    </xf>
    <xf numFmtId="0" fontId="54" fillId="13" borderId="22" xfId="0" applyFont="1" applyFill="1" applyBorder="1" applyAlignment="1">
      <alignment horizontal="center" vertical="center"/>
    </xf>
    <xf numFmtId="0" fontId="54" fillId="13" borderId="23" xfId="0" applyFont="1" applyFill="1" applyBorder="1" applyAlignment="1">
      <alignment horizontal="center" vertical="center"/>
    </xf>
    <xf numFmtId="0" fontId="54" fillId="13" borderId="8" xfId="0" applyFont="1" applyFill="1" applyBorder="1" applyAlignment="1">
      <alignment horizontal="center" vertical="center" wrapText="1"/>
    </xf>
    <xf numFmtId="0" fontId="54" fillId="13" borderId="9" xfId="0" applyFont="1" applyFill="1" applyBorder="1" applyAlignment="1">
      <alignment horizontal="center" vertical="center" wrapText="1"/>
    </xf>
    <xf numFmtId="0" fontId="54" fillId="13" borderId="2" xfId="0" applyFont="1" applyFill="1" applyBorder="1" applyAlignment="1">
      <alignment horizontal="center" vertical="center" wrapText="1"/>
    </xf>
    <xf numFmtId="44" fontId="80" fillId="12" borderId="8" xfId="0" applyNumberFormat="1" applyFont="1" applyFill="1" applyBorder="1" applyAlignment="1">
      <alignment horizontal="center"/>
    </xf>
    <xf numFmtId="44" fontId="80" fillId="12" borderId="9" xfId="0" applyNumberFormat="1" applyFont="1" applyFill="1" applyBorder="1" applyAlignment="1">
      <alignment horizontal="center"/>
    </xf>
    <xf numFmtId="44" fontId="54" fillId="12" borderId="9" xfId="0" applyNumberFormat="1" applyFont="1" applyFill="1" applyBorder="1" applyAlignment="1">
      <alignment horizontal="center"/>
    </xf>
    <xf numFmtId="44" fontId="63" fillId="0" borderId="8" xfId="0" applyNumberFormat="1" applyFont="1" applyBorder="1" applyAlignment="1">
      <alignment horizontal="center"/>
    </xf>
    <xf numFmtId="44" fontId="63" fillId="0" borderId="9" xfId="0" applyNumberFormat="1" applyFont="1" applyBorder="1" applyAlignment="1">
      <alignment horizontal="center"/>
    </xf>
    <xf numFmtId="44" fontId="63" fillId="0" borderId="2" xfId="0" applyNumberFormat="1" applyFont="1" applyBorder="1" applyAlignment="1">
      <alignment horizontal="center"/>
    </xf>
    <xf numFmtId="44" fontId="63" fillId="0" borderId="3" xfId="0" applyNumberFormat="1" applyFont="1" applyBorder="1" applyAlignment="1">
      <alignment horizontal="right"/>
    </xf>
    <xf numFmtId="0" fontId="54" fillId="13" borderId="3" xfId="0" applyFont="1" applyFill="1" applyBorder="1" applyAlignment="1">
      <alignment horizontal="left"/>
    </xf>
    <xf numFmtId="44" fontId="54" fillId="13" borderId="9" xfId="0" applyNumberFormat="1" applyFont="1" applyFill="1" applyBorder="1" applyAlignment="1">
      <alignment horizontal="center"/>
    </xf>
    <xf numFmtId="0" fontId="37" fillId="9" borderId="16" xfId="9" applyFont="1" applyFill="1" applyBorder="1" applyAlignment="1">
      <alignment horizontal="center" vertical="center" wrapText="1"/>
    </xf>
    <xf numFmtId="0" fontId="37" fillId="9" borderId="11" xfId="9" applyFont="1" applyFill="1" applyBorder="1" applyAlignment="1">
      <alignment horizontal="center" vertical="center" wrapText="1"/>
    </xf>
    <xf numFmtId="0" fontId="37" fillId="9" borderId="17" xfId="9" applyFont="1" applyFill="1" applyBorder="1" applyAlignment="1">
      <alignment horizontal="center" vertical="center" wrapText="1"/>
    </xf>
    <xf numFmtId="0" fontId="37" fillId="9" borderId="0" xfId="9" applyFont="1" applyFill="1" applyAlignment="1">
      <alignment horizontal="center" vertical="center" wrapText="1"/>
    </xf>
    <xf numFmtId="0" fontId="37" fillId="9" borderId="18" xfId="9" applyFont="1" applyFill="1" applyBorder="1" applyAlignment="1">
      <alignment horizontal="center" vertical="center" wrapText="1"/>
    </xf>
    <xf numFmtId="0" fontId="37" fillId="9" borderId="15" xfId="9" applyFont="1" applyFill="1" applyBorder="1" applyAlignment="1">
      <alignment horizontal="center" vertical="center" wrapText="1"/>
    </xf>
    <xf numFmtId="0" fontId="37" fillId="9" borderId="13" xfId="9" applyFont="1" applyFill="1" applyBorder="1" applyAlignment="1">
      <alignment horizontal="center" vertical="center" wrapText="1"/>
    </xf>
    <xf numFmtId="0" fontId="37" fillId="2" borderId="18"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9" borderId="14" xfId="9" applyFont="1" applyFill="1" applyBorder="1" applyAlignment="1">
      <alignment horizontal="center" vertical="center" wrapText="1"/>
    </xf>
    <xf numFmtId="0" fontId="37" fillId="9" borderId="12" xfId="9" applyFont="1" applyFill="1" applyBorder="1" applyAlignment="1">
      <alignment horizontal="center" vertical="center" wrapText="1"/>
    </xf>
    <xf numFmtId="0" fontId="23" fillId="12" borderId="65" xfId="0" applyFont="1" applyFill="1" applyBorder="1" applyAlignment="1">
      <alignment horizontal="center" vertical="center"/>
    </xf>
    <xf numFmtId="0" fontId="23" fillId="12" borderId="66" xfId="0" applyFont="1" applyFill="1" applyBorder="1" applyAlignment="1">
      <alignment horizontal="center" vertical="center"/>
    </xf>
    <xf numFmtId="0" fontId="23" fillId="12" borderId="67" xfId="0" applyFont="1" applyFill="1" applyBorder="1" applyAlignment="1">
      <alignment horizontal="center" vertical="center"/>
    </xf>
    <xf numFmtId="0" fontId="37" fillId="9" borderId="10" xfId="9" applyFont="1" applyFill="1" applyBorder="1" applyAlignment="1">
      <alignment horizontal="center" vertical="center" wrapText="1"/>
    </xf>
    <xf numFmtId="2" fontId="36" fillId="2" borderId="44" xfId="0" applyNumberFormat="1" applyFont="1" applyFill="1" applyBorder="1" applyAlignment="1">
      <alignment horizontal="center" vertical="center" wrapText="1"/>
    </xf>
    <xf numFmtId="2" fontId="36" fillId="2" borderId="0" xfId="0" applyNumberFormat="1" applyFont="1" applyFill="1" applyAlignment="1">
      <alignment horizontal="center" vertical="center" wrapText="1"/>
    </xf>
    <xf numFmtId="0" fontId="23" fillId="10" borderId="10" xfId="9" applyFont="1" applyFill="1" applyBorder="1" applyAlignment="1">
      <alignment horizontal="center" vertical="center" wrapText="1"/>
    </xf>
    <xf numFmtId="0" fontId="23" fillId="20" borderId="68" xfId="9" applyFont="1" applyFill="1" applyBorder="1" applyAlignment="1">
      <alignment horizontal="center" vertical="center" wrapText="1"/>
    </xf>
    <xf numFmtId="0" fontId="23" fillId="20" borderId="69" xfId="9" applyFont="1" applyFill="1" applyBorder="1" applyAlignment="1">
      <alignment horizontal="center" vertical="center" wrapText="1"/>
    </xf>
    <xf numFmtId="0" fontId="37" fillId="9" borderId="70" xfId="9" applyFont="1" applyFill="1" applyBorder="1" applyAlignment="1">
      <alignment horizontal="center" vertical="center" wrapText="1"/>
    </xf>
    <xf numFmtId="0" fontId="37" fillId="9" borderId="71" xfId="9" applyFont="1" applyFill="1" applyBorder="1" applyAlignment="1">
      <alignment horizontal="center" vertical="center" wrapText="1"/>
    </xf>
    <xf numFmtId="0" fontId="23" fillId="20" borderId="30" xfId="9" applyFont="1" applyFill="1" applyBorder="1" applyAlignment="1">
      <alignment horizontal="center" vertical="center" wrapText="1"/>
    </xf>
    <xf numFmtId="0" fontId="22" fillId="0" borderId="0" xfId="3" applyAlignment="1">
      <alignment horizontal="center" vertical="center"/>
    </xf>
    <xf numFmtId="0" fontId="22" fillId="0" borderId="0" xfId="3" applyAlignment="1">
      <alignment horizontal="center" vertical="center" wrapText="1"/>
    </xf>
    <xf numFmtId="0" fontId="49" fillId="22" borderId="0" xfId="0" applyFont="1" applyFill="1" applyAlignment="1">
      <alignment horizontal="right"/>
    </xf>
    <xf numFmtId="2" fontId="38" fillId="2" borderId="44" xfId="0" applyNumberFormat="1" applyFont="1" applyFill="1" applyBorder="1" applyAlignment="1">
      <alignment horizontal="center" vertical="center" wrapText="1"/>
    </xf>
    <xf numFmtId="2" fontId="38" fillId="2" borderId="0" xfId="0" applyNumberFormat="1" applyFont="1" applyFill="1" applyAlignment="1">
      <alignment horizontal="center" vertical="center" wrapText="1"/>
    </xf>
    <xf numFmtId="0" fontId="71" fillId="10" borderId="30" xfId="9" applyFont="1" applyFill="1" applyBorder="1" applyAlignment="1">
      <alignment horizontal="center" vertical="center" wrapText="1"/>
    </xf>
    <xf numFmtId="0" fontId="71" fillId="10" borderId="74" xfId="9" applyFont="1" applyFill="1" applyBorder="1" applyAlignment="1">
      <alignment horizontal="center" vertical="center" wrapText="1"/>
    </xf>
    <xf numFmtId="0" fontId="20" fillId="0" borderId="0" xfId="0" applyFont="1" applyAlignment="1">
      <alignment horizontal="left" vertical="center" wrapText="1"/>
    </xf>
    <xf numFmtId="0" fontId="37" fillId="7" borderId="10" xfId="9" applyFont="1" applyFill="1" applyBorder="1" applyAlignment="1">
      <alignment horizontal="center" vertical="center" wrapText="1"/>
    </xf>
    <xf numFmtId="0" fontId="36" fillId="9" borderId="70" xfId="9" applyFont="1" applyFill="1" applyBorder="1" applyAlignment="1">
      <alignment horizontal="center" vertical="center" wrapText="1"/>
    </xf>
    <xf numFmtId="0" fontId="36" fillId="9" borderId="71" xfId="9" applyFont="1" applyFill="1" applyBorder="1" applyAlignment="1">
      <alignment horizontal="center" vertical="center" wrapText="1"/>
    </xf>
    <xf numFmtId="0" fontId="36" fillId="9" borderId="75" xfId="9" applyFont="1" applyFill="1" applyBorder="1" applyAlignment="1">
      <alignment horizontal="center" vertical="center" wrapText="1"/>
    </xf>
    <xf numFmtId="0" fontId="36" fillId="9" borderId="76" xfId="9" applyFont="1" applyFill="1" applyBorder="1" applyAlignment="1">
      <alignment horizontal="center" vertical="center" wrapText="1"/>
    </xf>
    <xf numFmtId="0" fontId="36" fillId="9" borderId="77" xfId="9" applyFont="1" applyFill="1" applyBorder="1" applyAlignment="1">
      <alignment horizontal="center" vertical="center" wrapText="1"/>
    </xf>
    <xf numFmtId="0" fontId="36" fillId="9" borderId="78" xfId="9" applyFont="1" applyFill="1" applyBorder="1" applyAlignment="1">
      <alignment horizontal="center" vertical="center" wrapText="1"/>
    </xf>
    <xf numFmtId="0" fontId="36" fillId="9" borderId="79" xfId="9" applyFont="1" applyFill="1" applyBorder="1" applyAlignment="1">
      <alignment horizontal="center" vertical="center" wrapText="1"/>
    </xf>
    <xf numFmtId="0" fontId="36" fillId="9" borderId="80" xfId="9" applyFont="1" applyFill="1" applyBorder="1" applyAlignment="1">
      <alignment horizontal="center" vertical="center" wrapText="1"/>
    </xf>
    <xf numFmtId="0" fontId="84" fillId="21" borderId="72" xfId="9" applyFont="1" applyFill="1" applyBorder="1" applyAlignment="1">
      <alignment horizontal="center" vertical="center" wrapText="1"/>
    </xf>
    <xf numFmtId="0" fontId="84" fillId="21" borderId="73" xfId="9" applyFont="1" applyFill="1" applyBorder="1" applyAlignment="1">
      <alignment horizontal="center" vertical="center" wrapText="1"/>
    </xf>
    <xf numFmtId="0" fontId="38" fillId="20" borderId="10" xfId="9" applyFont="1" applyFill="1" applyBorder="1" applyAlignment="1">
      <alignment horizontal="center" vertical="center" wrapText="1"/>
    </xf>
    <xf numFmtId="0" fontId="38" fillId="20" borderId="81" xfId="9" applyFont="1" applyFill="1" applyBorder="1" applyAlignment="1">
      <alignment horizontal="center" vertical="center" wrapText="1"/>
    </xf>
    <xf numFmtId="0" fontId="23" fillId="10" borderId="81" xfId="9" applyFont="1" applyFill="1" applyBorder="1" applyAlignment="1">
      <alignment horizontal="center" vertical="center" wrapText="1"/>
    </xf>
    <xf numFmtId="0" fontId="36" fillId="8" borderId="10" xfId="9" applyFont="1" applyFill="1" applyBorder="1" applyAlignment="1">
      <alignment horizontal="center" vertical="center" wrapText="1"/>
    </xf>
    <xf numFmtId="0" fontId="38" fillId="10" borderId="10" xfId="9" applyFont="1" applyFill="1" applyBorder="1" applyAlignment="1">
      <alignment horizontal="center" vertical="center" wrapText="1"/>
    </xf>
    <xf numFmtId="0" fontId="36" fillId="8" borderId="72" xfId="9" applyFont="1" applyFill="1" applyBorder="1" applyAlignment="1">
      <alignment horizontal="center" vertical="center" wrapText="1"/>
    </xf>
    <xf numFmtId="0" fontId="36" fillId="8" borderId="73" xfId="9" applyFont="1" applyFill="1" applyBorder="1" applyAlignment="1">
      <alignment horizontal="center" vertical="center" wrapText="1"/>
    </xf>
    <xf numFmtId="2" fontId="36" fillId="2" borderId="93" xfId="0" applyNumberFormat="1" applyFont="1" applyFill="1" applyBorder="1" applyAlignment="1">
      <alignment horizontal="left" vertical="center" wrapText="1"/>
    </xf>
    <xf numFmtId="2" fontId="36" fillId="2" borderId="83" xfId="0" applyNumberFormat="1" applyFont="1" applyFill="1" applyBorder="1" applyAlignment="1">
      <alignment horizontal="left" vertical="center" wrapText="1"/>
    </xf>
    <xf numFmtId="0" fontId="23" fillId="12" borderId="82" xfId="0" applyFont="1" applyFill="1" applyBorder="1" applyAlignment="1">
      <alignment horizontal="center" vertical="center"/>
    </xf>
    <xf numFmtId="0" fontId="23" fillId="12" borderId="83" xfId="0" applyFont="1" applyFill="1" applyBorder="1" applyAlignment="1">
      <alignment horizontal="center" vertical="center"/>
    </xf>
    <xf numFmtId="0" fontId="23" fillId="12" borderId="84" xfId="0" applyFont="1" applyFill="1" applyBorder="1" applyAlignment="1">
      <alignment horizontal="center" vertical="center"/>
    </xf>
    <xf numFmtId="0" fontId="37" fillId="9" borderId="85" xfId="9" applyFont="1" applyFill="1" applyBorder="1" applyAlignment="1">
      <alignment horizontal="center" vertical="center" wrapText="1"/>
    </xf>
    <xf numFmtId="0" fontId="36" fillId="7" borderId="72" xfId="9" applyFont="1" applyFill="1" applyBorder="1" applyAlignment="1">
      <alignment horizontal="center" vertical="center" wrapText="1"/>
    </xf>
    <xf numFmtId="0" fontId="36" fillId="7" borderId="73" xfId="9" applyFont="1" applyFill="1" applyBorder="1" applyAlignment="1">
      <alignment horizontal="center" vertical="center" wrapText="1"/>
    </xf>
    <xf numFmtId="0" fontId="23" fillId="10" borderId="40" xfId="9" applyFont="1" applyFill="1" applyBorder="1" applyAlignment="1">
      <alignment horizontal="center" vertical="center" wrapText="1"/>
    </xf>
    <xf numFmtId="0" fontId="23" fillId="10" borderId="45" xfId="9" applyFont="1" applyFill="1" applyBorder="1" applyAlignment="1">
      <alignment horizontal="center" vertical="center" wrapText="1"/>
    </xf>
    <xf numFmtId="0" fontId="36" fillId="7" borderId="86" xfId="9" applyFont="1" applyFill="1" applyBorder="1" applyAlignment="1">
      <alignment horizontal="center" vertical="center" wrapText="1"/>
    </xf>
    <xf numFmtId="0" fontId="36" fillId="7" borderId="87" xfId="9" applyFont="1" applyFill="1" applyBorder="1" applyAlignment="1">
      <alignment horizontal="center" vertical="center" wrapText="1"/>
    </xf>
    <xf numFmtId="0" fontId="36" fillId="7" borderId="72" xfId="9" applyFont="1" applyFill="1" applyBorder="1" applyAlignment="1">
      <alignment vertical="center" wrapText="1"/>
    </xf>
    <xf numFmtId="0" fontId="36" fillId="7" borderId="73" xfId="9" applyFont="1" applyFill="1" applyBorder="1" applyAlignment="1">
      <alignment vertical="center" wrapText="1"/>
    </xf>
    <xf numFmtId="0" fontId="46" fillId="12" borderId="88" xfId="0" applyFont="1" applyFill="1" applyBorder="1" applyAlignment="1">
      <alignment horizontal="center" vertical="center"/>
    </xf>
    <xf numFmtId="0" fontId="46" fillId="12" borderId="89" xfId="0" applyFont="1" applyFill="1" applyBorder="1" applyAlignment="1">
      <alignment horizontal="center" vertical="center"/>
    </xf>
    <xf numFmtId="0" fontId="46" fillId="12" borderId="29" xfId="0" applyFont="1" applyFill="1" applyBorder="1" applyAlignment="1">
      <alignment horizontal="center" vertical="center"/>
    </xf>
    <xf numFmtId="0" fontId="30" fillId="26" borderId="8" xfId="0" applyFont="1" applyFill="1" applyBorder="1" applyAlignment="1">
      <alignment horizontal="right" vertical="center"/>
    </xf>
    <xf numFmtId="0" fontId="30" fillId="26" borderId="2" xfId="0" applyFont="1" applyFill="1" applyBorder="1" applyAlignment="1">
      <alignment horizontal="right" vertical="center"/>
    </xf>
    <xf numFmtId="0" fontId="46" fillId="12" borderId="90" xfId="0" applyFont="1" applyFill="1" applyBorder="1" applyAlignment="1">
      <alignment horizontal="center" vertical="center"/>
    </xf>
    <xf numFmtId="0" fontId="46" fillId="12" borderId="22" xfId="0" applyFont="1" applyFill="1" applyBorder="1" applyAlignment="1">
      <alignment horizontal="center" vertical="center"/>
    </xf>
    <xf numFmtId="0" fontId="38" fillId="12" borderId="0" xfId="0" applyFont="1" applyFill="1" applyAlignment="1">
      <alignment horizontal="center" wrapText="1"/>
    </xf>
    <xf numFmtId="0" fontId="85" fillId="12" borderId="88" xfId="0" applyFont="1" applyFill="1" applyBorder="1" applyAlignment="1">
      <alignment horizontal="center" vertical="center"/>
    </xf>
    <xf numFmtId="0" fontId="85" fillId="12" borderId="89" xfId="0" applyFont="1" applyFill="1" applyBorder="1" applyAlignment="1">
      <alignment horizontal="center" vertical="center"/>
    </xf>
    <xf numFmtId="0" fontId="85" fillId="12" borderId="91" xfId="0" applyFont="1" applyFill="1" applyBorder="1" applyAlignment="1">
      <alignment horizontal="center" vertical="center"/>
    </xf>
    <xf numFmtId="0" fontId="38" fillId="13" borderId="22" xfId="0" applyFont="1" applyFill="1" applyBorder="1" applyAlignment="1">
      <alignment horizontal="left" vertical="center"/>
    </xf>
    <xf numFmtId="44" fontId="63" fillId="0" borderId="8" xfId="0" applyNumberFormat="1" applyFont="1" applyBorder="1" applyAlignment="1">
      <alignment horizontal="right"/>
    </xf>
    <xf numFmtId="44" fontId="63" fillId="0" borderId="9" xfId="0" applyNumberFormat="1" applyFont="1" applyBorder="1" applyAlignment="1">
      <alignment horizontal="right"/>
    </xf>
    <xf numFmtId="44" fontId="63" fillId="0" borderId="2" xfId="0" applyNumberFormat="1" applyFont="1" applyBorder="1" applyAlignment="1">
      <alignment horizontal="right"/>
    </xf>
    <xf numFmtId="0" fontId="54" fillId="12" borderId="8" xfId="0" applyFont="1" applyFill="1" applyBorder="1" applyAlignment="1">
      <alignment horizontal="left"/>
    </xf>
    <xf numFmtId="0" fontId="54" fillId="12" borderId="2" xfId="0" applyFont="1" applyFill="1" applyBorder="1" applyAlignment="1">
      <alignment horizontal="left"/>
    </xf>
    <xf numFmtId="44" fontId="54" fillId="12" borderId="8" xfId="0" applyNumberFormat="1" applyFont="1" applyFill="1" applyBorder="1" applyAlignment="1">
      <alignment horizontal="center"/>
    </xf>
    <xf numFmtId="165" fontId="63" fillId="0" borderId="8" xfId="0" applyNumberFormat="1" applyFont="1" applyBorder="1" applyAlignment="1">
      <alignment horizontal="right"/>
    </xf>
    <xf numFmtId="165" fontId="63" fillId="0" borderId="9" xfId="0" applyNumberFormat="1" applyFont="1" applyBorder="1" applyAlignment="1">
      <alignment horizontal="right"/>
    </xf>
    <xf numFmtId="165" fontId="63" fillId="0" borderId="2" xfId="0" applyNumberFormat="1" applyFont="1" applyBorder="1" applyAlignment="1">
      <alignment horizontal="right"/>
    </xf>
    <xf numFmtId="0" fontId="54" fillId="13" borderId="24" xfId="0" applyFont="1" applyFill="1" applyBorder="1" applyAlignment="1">
      <alignment horizontal="center" vertical="center"/>
    </xf>
    <xf numFmtId="0" fontId="46" fillId="12" borderId="9" xfId="0" applyFont="1" applyFill="1" applyBorder="1" applyAlignment="1">
      <alignment horizontal="center" vertical="center"/>
    </xf>
    <xf numFmtId="0" fontId="46" fillId="12" borderId="2" xfId="0" applyFont="1" applyFill="1" applyBorder="1" applyAlignment="1">
      <alignment horizontal="center" vertical="center"/>
    </xf>
    <xf numFmtId="0" fontId="92" fillId="0" borderId="31" xfId="8" applyFont="1" applyBorder="1" applyAlignment="1">
      <alignment vertical="center" wrapText="1"/>
    </xf>
    <xf numFmtId="0" fontId="93" fillId="0" borderId="94" xfId="8" applyFont="1" applyBorder="1" applyAlignment="1">
      <alignment horizontal="center" vertical="center" wrapText="1"/>
    </xf>
    <xf numFmtId="0" fontId="93" fillId="0" borderId="50" xfId="8" applyFont="1" applyBorder="1" applyAlignment="1">
      <alignment horizontal="center" vertical="center" wrapText="1"/>
    </xf>
    <xf numFmtId="4" fontId="50" fillId="4" borderId="31" xfId="8" applyNumberFormat="1" applyFont="1" applyFill="1" applyBorder="1" applyAlignment="1">
      <alignment horizontal="right" vertical="center" wrapText="1"/>
    </xf>
    <xf numFmtId="0" fontId="50" fillId="28" borderId="31" xfId="8" applyFont="1" applyFill="1" applyBorder="1" applyAlignment="1">
      <alignment horizontal="right" vertical="center" wrapText="1"/>
    </xf>
    <xf numFmtId="0" fontId="54" fillId="20" borderId="44" xfId="9" applyFont="1" applyFill="1" applyBorder="1" applyAlignment="1">
      <alignment horizontal="center" vertical="center" wrapText="1"/>
    </xf>
    <xf numFmtId="0" fontId="54" fillId="20" borderId="0" xfId="9" applyFont="1" applyFill="1" applyBorder="1" applyAlignment="1">
      <alignment horizontal="center" vertical="center" wrapText="1"/>
    </xf>
    <xf numFmtId="0" fontId="92" fillId="0" borderId="96" xfId="8" applyFont="1" applyBorder="1" applyAlignment="1">
      <alignment horizontal="left" vertical="center" wrapText="1"/>
    </xf>
    <xf numFmtId="0" fontId="92" fillId="0" borderId="97" xfId="8" applyFont="1" applyBorder="1" applyAlignment="1">
      <alignment horizontal="left" vertical="center" wrapText="1"/>
    </xf>
    <xf numFmtId="0" fontId="92" fillId="0" borderId="95" xfId="8" applyFont="1" applyBorder="1" applyAlignment="1">
      <alignment horizontal="left" vertical="center" wrapText="1"/>
    </xf>
    <xf numFmtId="0" fontId="92" fillId="0" borderId="98" xfId="8" applyFont="1" applyBorder="1" applyAlignment="1">
      <alignment horizontal="left" vertical="center" wrapText="1"/>
    </xf>
    <xf numFmtId="0" fontId="92" fillId="0" borderId="99" xfId="8" applyFont="1" applyBorder="1" applyAlignment="1">
      <alignment horizontal="left" vertical="center" wrapText="1"/>
    </xf>
    <xf numFmtId="0" fontId="92" fillId="0" borderId="100" xfId="8" applyFont="1" applyBorder="1" applyAlignment="1">
      <alignment horizontal="left" vertical="center" wrapText="1"/>
    </xf>
  </cellXfs>
  <cellStyles count="11">
    <cellStyle name="Euro" xfId="1" xr:uid="{00000000-0005-0000-0000-000000000000}"/>
    <cellStyle name="Euro 2" xfId="2" xr:uid="{00000000-0005-0000-0000-000001000000}"/>
    <cellStyle name="Hipervínculo" xfId="3" builtinId="8"/>
    <cellStyle name="Millares" xfId="4" builtinId="3"/>
    <cellStyle name="Moneda" xfId="5" builtinId="4"/>
    <cellStyle name="Normal" xfId="0" builtinId="0"/>
    <cellStyle name="Normal 2" xfId="6" xr:uid="{00000000-0005-0000-0000-000006000000}"/>
    <cellStyle name="Normal_2.1-VEHÍCULOS" xfId="7" xr:uid="{00000000-0005-0000-0000-000007000000}"/>
    <cellStyle name="Normal_Hoja1 (2)" xfId="8" xr:uid="{00000000-0005-0000-0000-000008000000}"/>
    <cellStyle name="Normal_Hoja1_1" xfId="9" xr:uid="{00000000-0005-0000-0000-000009000000}"/>
    <cellStyle name="Porcentaje" xfId="10" builtinId="5"/>
  </cellStyles>
  <dxfs count="88">
    <dxf>
      <font>
        <color theme="0" tint="-0.14996795556505021"/>
      </font>
    </dxf>
    <dxf>
      <font>
        <color theme="0" tint="-0.14996795556505021"/>
      </font>
    </dxf>
    <dxf>
      <font>
        <color theme="0" tint="-0.14996795556505021"/>
      </font>
    </dxf>
    <dxf>
      <font>
        <color theme="0" tint="-0.1499679555650502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1499679555650502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1499679555650502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14996795556505021"/>
      </font>
    </dxf>
    <dxf>
      <font>
        <color theme="0" tint="-0.14996795556505021"/>
      </font>
    </dxf>
    <dxf>
      <font>
        <color theme="0" tint="-0.14990691854609822"/>
      </font>
    </dxf>
    <dxf>
      <font>
        <color theme="0" tint="-0.14996795556505021"/>
      </font>
    </dxf>
    <dxf>
      <font>
        <color theme="0" tint="-0.14996795556505021"/>
      </font>
    </dxf>
    <dxf>
      <font>
        <color theme="0" tint="-0.24994659260841701"/>
      </font>
    </dxf>
    <dxf>
      <font>
        <color theme="0" tint="-0.14990691854609822"/>
      </font>
    </dxf>
    <dxf>
      <font>
        <color rgb="FFC00000"/>
      </font>
      <fill>
        <patternFill>
          <bgColor theme="3" tint="0.79998168889431442"/>
        </patternFill>
      </fill>
    </dxf>
    <dxf>
      <font>
        <color theme="6" tint="-0.499984740745262"/>
      </font>
    </dxf>
    <dxf>
      <font>
        <color rgb="FFC00000"/>
      </font>
      <fill>
        <patternFill>
          <bgColor theme="3" tint="0.79998168889431442"/>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ill>
        <patternFill>
          <bgColor theme="6"/>
        </patternFill>
      </fill>
    </dxf>
    <dxf>
      <font>
        <color rgb="FF9C0006"/>
      </font>
      <fill>
        <patternFill>
          <bgColor rgb="FFFFC7CE"/>
        </patternFill>
      </fill>
    </dxf>
    <dxf>
      <fill>
        <patternFill>
          <bgColor theme="6"/>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F5F5F5"/>
      <rgbColor rgb="00DDDDDD"/>
      <rgbColor rgb="00FFFFCC"/>
      <rgbColor rgb="00FFFFDD"/>
      <rgbColor rgb="00E1E1D9"/>
      <rgbColor rgb="00FFE5AB"/>
      <rgbColor rgb="00FFF2D1"/>
      <rgbColor rgb="00FFEAD5"/>
      <rgbColor rgb="00000080"/>
      <rgbColor rgb="00FFCC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8FB638"/>
      <color rgb="FFFFEA93"/>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127000</xdr:colOff>
      <xdr:row>1</xdr:row>
      <xdr:rowOff>38100</xdr:rowOff>
    </xdr:from>
    <xdr:to>
      <xdr:col>6</xdr:col>
      <xdr:colOff>682626</xdr:colOff>
      <xdr:row>53</xdr:row>
      <xdr:rowOff>31750</xdr:rowOff>
    </xdr:to>
    <xdr:sp macro="" textlink="">
      <xdr:nvSpPr>
        <xdr:cNvPr id="2" name="CuadroTexto 1">
          <a:extLst>
            <a:ext uri="{FF2B5EF4-FFF2-40B4-BE49-F238E27FC236}">
              <a16:creationId xmlns:a16="http://schemas.microsoft.com/office/drawing/2014/main" id="{71B2200E-8DF1-8C27-C9A4-AFA3CB87C7ED}"/>
            </a:ext>
          </a:extLst>
        </xdr:cNvPr>
        <xdr:cNvSpPr txBox="1"/>
      </xdr:nvSpPr>
      <xdr:spPr>
        <a:xfrm>
          <a:off x="127000" y="200025"/>
          <a:ext cx="4956175" cy="84137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baseline="0">
              <a:solidFill>
                <a:schemeClr val="accent1">
                  <a:lumMod val="50000"/>
                </a:schemeClr>
              </a:solidFill>
              <a:effectLst/>
              <a:latin typeface="+mn-lt"/>
              <a:ea typeface="+mn-ea"/>
              <a:cs typeface="+mn-cs"/>
            </a:rPr>
            <a:t>APLICATIVO PARA LA ELABORACIÓN DEL ESTUDIO ECONÓMICO EN LA CONTRATACIÓN DE SERVICIOS DE CONSERVACIÓN Y MANTENIMIENTO DE LA INFRAESTRUCTURA VERDE CON INVERSIÓN.</a:t>
          </a:r>
        </a:p>
        <a:p>
          <a:endParaRPr lang="es-ES">
            <a:effectLst/>
          </a:endParaRPr>
        </a:p>
        <a:p>
          <a:r>
            <a:rPr lang="es-ES" sz="1100">
              <a:solidFill>
                <a:schemeClr val="dk1"/>
              </a:solidFill>
              <a:effectLst/>
              <a:latin typeface="+mn-lt"/>
              <a:ea typeface="+mn-ea"/>
              <a:cs typeface="+mn-cs"/>
            </a:rPr>
            <a:t>El</a:t>
          </a:r>
          <a:r>
            <a:rPr lang="es-ES" sz="1100" baseline="0">
              <a:solidFill>
                <a:schemeClr val="dk1"/>
              </a:solidFill>
              <a:effectLst/>
              <a:latin typeface="+mn-lt"/>
              <a:ea typeface="+mn-ea"/>
              <a:cs typeface="+mn-cs"/>
            </a:rPr>
            <a:t> aplicativo se ha generado para facilitar la elaboración del </a:t>
          </a:r>
          <a:r>
            <a:rPr lang="es-ES" sz="1100" b="1" baseline="0">
              <a:solidFill>
                <a:schemeClr val="dk1"/>
              </a:solidFill>
              <a:effectLst/>
              <a:latin typeface="+mn-lt"/>
              <a:ea typeface="+mn-ea"/>
              <a:cs typeface="+mn-cs"/>
            </a:rPr>
            <a:t>estudio económico </a:t>
          </a:r>
          <a:r>
            <a:rPr lang="es-ES" sz="1100" b="0" baseline="0">
              <a:solidFill>
                <a:schemeClr val="dk1"/>
              </a:solidFill>
              <a:effectLst/>
              <a:latin typeface="+mn-lt"/>
              <a:ea typeface="+mn-ea"/>
              <a:cs typeface="+mn-cs"/>
            </a:rPr>
            <a:t>para la  contratación de servicios de Conservación y Mantenimiento de la Infraestrucutra Verde con inversión, siguiendo las líneas generales trazadas en la Guía de Recomendaciones para la  Contratación de Servicios de Conservación y Mantenimiento de la Infraestructura Verde, para los cálculos de un contrato de servicios y la Guía de CONTRATOS DE SERVICIOS CON INVERSIÓN EN LA GESTIÓN DE LA INFRAESTRUCTURA VERDE, con la información explicita de este tipo de contratos, que difiere ligeramente.</a:t>
          </a:r>
        </a:p>
        <a:p>
          <a:endParaRPr lang="es-ES">
            <a:effectLst/>
          </a:endParaRPr>
        </a:p>
        <a:p>
          <a:r>
            <a:rPr lang="es-ES" sz="1100" b="0" baseline="0">
              <a:solidFill>
                <a:schemeClr val="dk1"/>
              </a:solidFill>
              <a:effectLst/>
              <a:latin typeface="+mn-lt"/>
              <a:ea typeface="+mn-ea"/>
              <a:cs typeface="+mn-cs"/>
            </a:rPr>
            <a:t>Se han generado diferentes pestañas que facilitan su uso e interpretación. Además se  ha maquetado el Excel de tal forma que si se crea un pdf con las pestañas seleccionadas, éste se genera directamente en modo impresión. </a:t>
          </a:r>
        </a:p>
        <a:p>
          <a:endParaRPr lang="es-ES">
            <a:effectLst/>
          </a:endParaRPr>
        </a:p>
        <a:p>
          <a:r>
            <a:rPr lang="es-ES" sz="1100">
              <a:solidFill>
                <a:schemeClr val="dk1"/>
              </a:solidFill>
              <a:effectLst/>
              <a:latin typeface="+mn-lt"/>
              <a:ea typeface="+mn-ea"/>
              <a:cs typeface="+mn-cs"/>
            </a:rPr>
            <a:t>Las pestañas se han coloreado por temáticas de cálculo</a:t>
          </a:r>
          <a:r>
            <a:rPr lang="es-ES" sz="1100" baseline="0">
              <a:solidFill>
                <a:schemeClr val="dk1"/>
              </a:solidFill>
              <a:effectLst/>
              <a:latin typeface="+mn-lt"/>
              <a:ea typeface="+mn-ea"/>
              <a:cs typeface="+mn-cs"/>
            </a:rPr>
            <a:t> para facilitar su manejo y comprensión. Cada pestaña se acompaña de un recuadro explicativo que no aparece en el pdf o la impresión final. Tambien existen vínculos a referencias legales necesarias para poder realizar adecuadamente los cálculos. </a:t>
          </a:r>
        </a:p>
        <a:p>
          <a:endParaRPr lang="es-ES" sz="1100" baseline="0">
            <a:solidFill>
              <a:schemeClr val="dk1"/>
            </a:solidFill>
            <a:effectLst/>
            <a:latin typeface="+mn-lt"/>
            <a:ea typeface="+mn-ea"/>
            <a:cs typeface="+mn-cs"/>
          </a:endParaRPr>
        </a:p>
        <a:p>
          <a:r>
            <a:rPr lang="es-ES" sz="1100" baseline="0">
              <a:solidFill>
                <a:schemeClr val="dk1"/>
              </a:solidFill>
              <a:effectLst/>
              <a:latin typeface="+mn-lt"/>
              <a:ea typeface="+mn-ea"/>
              <a:cs typeface="+mn-cs"/>
            </a:rPr>
            <a:t>La organización será:</a:t>
          </a:r>
        </a:p>
        <a:p>
          <a:r>
            <a:rPr lang="es-ES" sz="1100" b="1" baseline="0">
              <a:solidFill>
                <a:schemeClr val="dk1"/>
              </a:solidFill>
              <a:effectLst/>
              <a:latin typeface="+mn-lt"/>
              <a:ea typeface="+mn-ea"/>
              <a:cs typeface="+mn-cs"/>
            </a:rPr>
            <a:t>* INFORMACIÓN ESPECÍFICA PARA EL ESTUDIO ECONÓMICO DE UN CONTRATO DE SERVICIOS CON INVERSIÓN:</a:t>
          </a:r>
        </a:p>
        <a:p>
          <a:r>
            <a:rPr lang="es-ES" sz="1100" b="1" baseline="0">
              <a:solidFill>
                <a:schemeClr val="dk1"/>
              </a:solidFill>
              <a:effectLst/>
              <a:latin typeface="+mn-lt"/>
              <a:ea typeface="+mn-ea"/>
              <a:cs typeface="+mn-cs"/>
            </a:rPr>
            <a:t>	- Cálculo del periodo de amortización</a:t>
          </a:r>
        </a:p>
        <a:p>
          <a:r>
            <a:rPr lang="es-ES" sz="1100" b="1" baseline="0">
              <a:solidFill>
                <a:schemeClr val="dk1"/>
              </a:solidFill>
              <a:effectLst/>
              <a:latin typeface="+mn-lt"/>
              <a:ea typeface="+mn-ea"/>
              <a:cs typeface="+mn-cs"/>
            </a:rPr>
            <a:t>	- Flujo de gastos</a:t>
          </a:r>
        </a:p>
        <a:p>
          <a:r>
            <a:rPr lang="es-ES" sz="1100" b="1" baseline="0">
              <a:solidFill>
                <a:schemeClr val="dk1"/>
              </a:solidFill>
              <a:effectLst/>
              <a:latin typeface="+mn-lt"/>
              <a:ea typeface="+mn-ea"/>
              <a:cs typeface="+mn-cs"/>
            </a:rPr>
            <a:t>	- Estructura de costes - Cálculo total de inversiones</a:t>
          </a:r>
        </a:p>
        <a:p>
          <a:r>
            <a:rPr lang="es-ES" sz="1100" baseline="0">
              <a:solidFill>
                <a:schemeClr val="dk1"/>
              </a:solidFill>
              <a:effectLst/>
              <a:latin typeface="+mn-lt"/>
              <a:ea typeface="+mn-ea"/>
              <a:cs typeface="+mn-cs"/>
            </a:rPr>
            <a:t>* RESUMEN CÁLCULOS PRESUPUESTO</a:t>
          </a:r>
        </a:p>
        <a:p>
          <a:r>
            <a:rPr lang="es-ES" sz="1100" baseline="0">
              <a:solidFill>
                <a:schemeClr val="dk1"/>
              </a:solidFill>
              <a:effectLst/>
              <a:latin typeface="+mn-lt"/>
              <a:ea typeface="+mn-ea"/>
              <a:cs typeface="+mn-cs"/>
            </a:rPr>
            <a:t>	-Presupuesto base de licitación</a:t>
          </a:r>
        </a:p>
        <a:p>
          <a:r>
            <a:rPr lang="es-ES" sz="1100" baseline="0">
              <a:solidFill>
                <a:schemeClr val="dk1"/>
              </a:solidFill>
              <a:effectLst/>
              <a:latin typeface="+mn-lt"/>
              <a:ea typeface="+mn-ea"/>
              <a:cs typeface="+mn-cs"/>
            </a:rPr>
            <a:t>	-Cánon anual</a:t>
          </a:r>
        </a:p>
        <a:p>
          <a:r>
            <a:rPr lang="es-ES" sz="1100" baseline="0">
              <a:solidFill>
                <a:schemeClr val="dk1"/>
              </a:solidFill>
              <a:effectLst/>
              <a:latin typeface="+mn-lt"/>
              <a:ea typeface="+mn-ea"/>
              <a:cs typeface="+mn-cs"/>
            </a:rPr>
            <a:t>	-Trabajos de Medición - Suministro</a:t>
          </a:r>
        </a:p>
        <a:p>
          <a:r>
            <a:rPr lang="es-ES" sz="1100" b="0" i="0" u="none" strike="noStrike">
              <a:solidFill>
                <a:schemeClr val="dk1"/>
              </a:solidFill>
              <a:effectLst/>
              <a:latin typeface="+mn-lt"/>
              <a:ea typeface="+mn-ea"/>
              <a:cs typeface="+mn-cs"/>
            </a:rPr>
            <a:t>* A. COSTES DE PERSONAL</a:t>
          </a:r>
          <a:r>
            <a:rPr lang="es-ES"/>
            <a:t> </a:t>
          </a:r>
        </a:p>
        <a:p>
          <a:r>
            <a:rPr lang="es-ES" sz="1100" b="0" i="0" u="none" strike="noStrike">
              <a:solidFill>
                <a:schemeClr val="dk1"/>
              </a:solidFill>
              <a:effectLst/>
              <a:latin typeface="+mn-lt"/>
              <a:ea typeface="+mn-ea"/>
              <a:cs typeface="+mn-cs"/>
            </a:rPr>
            <a:t>* B. COSTES DE VEHÍCULOS Y MAQUINARIA</a:t>
          </a:r>
          <a:r>
            <a:rPr lang="es-ES"/>
            <a:t> </a:t>
          </a:r>
        </a:p>
        <a:p>
          <a:r>
            <a:rPr lang="es-ES" sz="1100" b="0" i="0" u="none" strike="noStrike">
              <a:solidFill>
                <a:schemeClr val="dk1"/>
              </a:solidFill>
              <a:effectLst/>
              <a:latin typeface="+mn-lt"/>
              <a:ea typeface="+mn-ea"/>
              <a:cs typeface="+mn-cs"/>
            </a:rPr>
            <a:t>* C. COSTES VESTUARIO, EQUIPAMIENTOS, ÚTILES Y HERRAMIENTAS</a:t>
          </a:r>
          <a:r>
            <a:rPr lang="es-ES"/>
            <a:t> </a:t>
          </a:r>
        </a:p>
        <a:p>
          <a:r>
            <a:rPr lang="es-ES" sz="1100" b="0" i="0" u="none" strike="noStrike">
              <a:solidFill>
                <a:schemeClr val="dk1"/>
              </a:solidFill>
              <a:effectLst/>
              <a:latin typeface="+mn-lt"/>
              <a:ea typeface="+mn-ea"/>
              <a:cs typeface="+mn-cs"/>
            </a:rPr>
            <a:t>* D. COSTES LOCALES E INSTALACIONES</a:t>
          </a:r>
          <a:r>
            <a:rPr lang="es-ES"/>
            <a:t> </a:t>
          </a:r>
        </a:p>
        <a:p>
          <a:r>
            <a:rPr lang="es-ES" sz="1100" b="0" i="0" u="none" strike="noStrike">
              <a:solidFill>
                <a:schemeClr val="dk1"/>
              </a:solidFill>
              <a:effectLst/>
              <a:latin typeface="+mn-lt"/>
              <a:ea typeface="+mn-ea"/>
              <a:cs typeface="+mn-cs"/>
            </a:rPr>
            <a:t>* E. COSTES MATERIALES DE CONSERVACIÓN</a:t>
          </a:r>
          <a:r>
            <a:rPr lang="es-ES"/>
            <a:t> </a:t>
          </a:r>
        </a:p>
        <a:p>
          <a:r>
            <a:rPr lang="es-ES" sz="1100" b="0" i="0" u="none" strike="noStrike">
              <a:solidFill>
                <a:schemeClr val="dk1"/>
              </a:solidFill>
              <a:effectLst/>
              <a:latin typeface="+mn-lt"/>
              <a:ea typeface="+mn-ea"/>
              <a:cs typeface="+mn-cs"/>
            </a:rPr>
            <a:t>* F. TOTAL OTROS COSTES</a:t>
          </a:r>
          <a:r>
            <a:rPr lang="es-ES"/>
            <a:t> </a:t>
          </a:r>
        </a:p>
        <a:p>
          <a:endParaRPr lang="es-ES">
            <a:effectLst/>
          </a:endParaRPr>
        </a:p>
        <a:p>
          <a:r>
            <a:rPr lang="es-ES">
              <a:effectLst/>
            </a:rPr>
            <a:t>El</a:t>
          </a:r>
          <a:r>
            <a:rPr lang="es-ES" baseline="0">
              <a:effectLst/>
            </a:rPr>
            <a:t> estudio muestra desglosado, en las diferentes pestañas resumen, los cálculos de amortización y finacieros correspondientes con las inversiones calculadas y facilita la presentación de la información para las diversas fórmulas presentadas en el estudio.</a:t>
          </a:r>
          <a:endParaRPr lang="es-ES">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27</xdr:col>
      <xdr:colOff>0</xdr:colOff>
      <xdr:row>4</xdr:row>
      <xdr:rowOff>0</xdr:rowOff>
    </xdr:from>
    <xdr:to>
      <xdr:col>34</xdr:col>
      <xdr:colOff>438151</xdr:colOff>
      <xdr:row>24</xdr:row>
      <xdr:rowOff>104775</xdr:rowOff>
    </xdr:to>
    <xdr:sp macro="" textlink="">
      <xdr:nvSpPr>
        <xdr:cNvPr id="2" name="CuadroTexto 1">
          <a:extLst>
            <a:ext uri="{FF2B5EF4-FFF2-40B4-BE49-F238E27FC236}">
              <a16:creationId xmlns:a16="http://schemas.microsoft.com/office/drawing/2014/main" id="{52EE7357-2344-7603-6D26-86EF2E67C3D0}"/>
            </a:ext>
          </a:extLst>
        </xdr:cNvPr>
        <xdr:cNvSpPr txBox="1"/>
      </xdr:nvSpPr>
      <xdr:spPr>
        <a:xfrm>
          <a:off x="16513810" y="1743075"/>
          <a:ext cx="5776595" cy="39147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A.2</a:t>
          </a:r>
          <a:r>
            <a:rPr lang="es-ES" sz="1100" b="1" baseline="0"/>
            <a:t> TABLA COSTES NUEVA CONTRATACIÓN</a:t>
          </a:r>
          <a:endParaRPr lang="es-ES" sz="1100" b="1"/>
        </a:p>
        <a:p>
          <a:endParaRPr lang="es-ES" sz="1100"/>
        </a:p>
        <a:p>
          <a:r>
            <a:rPr lang="es-ES" sz="1100">
              <a:solidFill>
                <a:schemeClr val="dk1"/>
              </a:solidFill>
              <a:effectLst/>
              <a:latin typeface="+mn-lt"/>
              <a:ea typeface="+mn-ea"/>
              <a:cs typeface="+mn-cs"/>
            </a:rPr>
            <a:t>* Se debe actulizar a la</a:t>
          </a:r>
          <a:r>
            <a:rPr lang="es-ES" sz="1100" baseline="0">
              <a:solidFill>
                <a:schemeClr val="dk1"/>
              </a:solidFill>
              <a:effectLst/>
              <a:latin typeface="+mn-lt"/>
              <a:ea typeface="+mn-ea"/>
              <a:cs typeface="+mn-cs"/>
            </a:rPr>
            <a:t> situación de cada servicio, según las tablas de subrogación</a:t>
          </a:r>
          <a:endParaRPr lang="es-ES">
            <a:effectLst/>
          </a:endParaRPr>
        </a:p>
        <a:p>
          <a:r>
            <a:rPr lang="es-ES" sz="1100" baseline="0">
              <a:solidFill>
                <a:schemeClr val="dk1"/>
              </a:solidFill>
              <a:effectLst/>
              <a:latin typeface="+mn-lt"/>
              <a:ea typeface="+mn-ea"/>
              <a:cs typeface="+mn-cs"/>
            </a:rPr>
            <a:t>* Se recomineda insertarfilas por categorías para facilitar cálculos y minimizar errores. TOdas las filas que se añadan en esta pestaña deben añadirse en la tabla A.2.0 Tabla Antigüedad_Sub</a:t>
          </a:r>
          <a:endParaRPr lang="es-ES">
            <a:effectLst/>
          </a:endParaRPr>
        </a:p>
        <a:p>
          <a:endParaRPr lang="es-ES"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19048</xdr:colOff>
      <xdr:row>2</xdr:row>
      <xdr:rowOff>9525</xdr:rowOff>
    </xdr:from>
    <xdr:to>
      <xdr:col>25</xdr:col>
      <xdr:colOff>19049</xdr:colOff>
      <xdr:row>5</xdr:row>
      <xdr:rowOff>0</xdr:rowOff>
    </xdr:to>
    <xdr:sp macro="" textlink="">
      <xdr:nvSpPr>
        <xdr:cNvPr id="2" name="CuadroTexto 1">
          <a:extLst>
            <a:ext uri="{FF2B5EF4-FFF2-40B4-BE49-F238E27FC236}">
              <a16:creationId xmlns:a16="http://schemas.microsoft.com/office/drawing/2014/main" id="{DE85F37A-5812-386A-ABFC-AE3250B9780D}"/>
            </a:ext>
          </a:extLst>
        </xdr:cNvPr>
        <xdr:cNvSpPr txBox="1"/>
      </xdr:nvSpPr>
      <xdr:spPr>
        <a:xfrm>
          <a:off x="8225790" y="247650"/>
          <a:ext cx="5782945" cy="657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 </a:t>
          </a:r>
          <a:r>
            <a:rPr lang="es-ES" sz="1100" b="1"/>
            <a:t>TABLA RESUMEN COSTES DE VEHÍCULOS Y MAQUINARIA</a:t>
          </a:r>
        </a:p>
        <a:p>
          <a:r>
            <a:rPr lang="es-ES" sz="1100" b="0"/>
            <a:t>* Se diferencian</a:t>
          </a:r>
          <a:r>
            <a:rPr lang="es-ES" sz="1100" b="0" baseline="0"/>
            <a:t> costes fijos de costes de mantenimiento. </a:t>
          </a:r>
        </a:p>
        <a:p>
          <a:r>
            <a:rPr lang="es-ES" sz="1100" b="0" baseline="0"/>
            <a:t>* Se debe actualizar los gastos financieros aplicados</a:t>
          </a:r>
          <a:endParaRPr lang="es-ES" sz="1100" b="0"/>
        </a:p>
        <a:p>
          <a:endParaRPr lang="es-ES" sz="1100"/>
        </a:p>
        <a:p>
          <a:endParaRPr lang="es-ES" sz="1100">
            <a:solidFill>
              <a:sysClr val="windowText" lastClr="000000"/>
            </a:solidFill>
          </a:endParaRPr>
        </a:p>
      </xdr:txBody>
    </xdr:sp>
    <xdr:clientData/>
  </xdr:twoCellAnchor>
  <xdr:twoCellAnchor>
    <xdr:from>
      <xdr:col>15</xdr:col>
      <xdr:colOff>220981</xdr:colOff>
      <xdr:row>18</xdr:row>
      <xdr:rowOff>102870</xdr:rowOff>
    </xdr:from>
    <xdr:to>
      <xdr:col>25</xdr:col>
      <xdr:colOff>7621</xdr:colOff>
      <xdr:row>21</xdr:row>
      <xdr:rowOff>47625</xdr:rowOff>
    </xdr:to>
    <xdr:sp macro="" textlink="">
      <xdr:nvSpPr>
        <xdr:cNvPr id="3" name="CuadroTexto 2">
          <a:extLst>
            <a:ext uri="{FF2B5EF4-FFF2-40B4-BE49-F238E27FC236}">
              <a16:creationId xmlns:a16="http://schemas.microsoft.com/office/drawing/2014/main" id="{66DA5ADE-A2EC-0ED1-C2A7-EB468B13283D}"/>
            </a:ext>
          </a:extLst>
        </xdr:cNvPr>
        <xdr:cNvSpPr txBox="1"/>
      </xdr:nvSpPr>
      <xdr:spPr>
        <a:xfrm>
          <a:off x="8435341" y="3905250"/>
          <a:ext cx="3962400" cy="7219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Estas tablas se han calculado para facilita</a:t>
          </a:r>
          <a:r>
            <a:rPr lang="es-ES" sz="1100" b="1" baseline="0"/>
            <a:t>r todos los cálculos a presentar en el estudio financiero. </a:t>
          </a:r>
          <a:endParaRPr lang="es-ES" sz="1100" b="0"/>
        </a:p>
        <a:p>
          <a:endParaRPr lang="es-ES" sz="1100"/>
        </a:p>
        <a:p>
          <a:endParaRPr lang="es-ES" sz="11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5</xdr:row>
      <xdr:rowOff>0</xdr:rowOff>
    </xdr:from>
    <xdr:to>
      <xdr:col>14</xdr:col>
      <xdr:colOff>209551</xdr:colOff>
      <xdr:row>15</xdr:row>
      <xdr:rowOff>81643</xdr:rowOff>
    </xdr:to>
    <xdr:sp macro="" textlink="">
      <xdr:nvSpPr>
        <xdr:cNvPr id="2" name="CuadroTexto 1">
          <a:extLst>
            <a:ext uri="{FF2B5EF4-FFF2-40B4-BE49-F238E27FC236}">
              <a16:creationId xmlns:a16="http://schemas.microsoft.com/office/drawing/2014/main" id="{4410095D-54E1-C5EC-58D6-CE1E4CAA6212}"/>
            </a:ext>
          </a:extLst>
        </xdr:cNvPr>
        <xdr:cNvSpPr txBox="1"/>
      </xdr:nvSpPr>
      <xdr:spPr>
        <a:xfrm>
          <a:off x="5295900" y="914400"/>
          <a:ext cx="5777865" cy="198628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0. </a:t>
          </a:r>
          <a:r>
            <a:rPr lang="es-ES" sz="1100" b="1"/>
            <a:t>TABLA Consumibles Vehiculos y Maquinaria</a:t>
          </a:r>
        </a:p>
        <a:p>
          <a:endParaRPr lang="es-ES" sz="1100" b="1"/>
        </a:p>
        <a:p>
          <a:r>
            <a:rPr lang="es-ES" sz="1100" b="0"/>
            <a:t>*Se</a:t>
          </a:r>
          <a:r>
            <a:rPr lang="es-ES" sz="1100" b="0" baseline="0"/>
            <a:t> muestra gran cantidad de maquinaria que puede ser necesaria, aunque no toda.</a:t>
          </a:r>
        </a:p>
        <a:p>
          <a:r>
            <a:rPr lang="es-ES" sz="1100" b="0" baseline="0"/>
            <a:t>* Si se pone 0 en las unidaes se pone gris claro en variables utilizadas en el cálculo, para que no conste. </a:t>
          </a:r>
          <a:endParaRPr lang="es-ES" sz="1100" b="0"/>
        </a:p>
        <a:p>
          <a:r>
            <a:rPr lang="es-ES" sz="1100" b="0"/>
            <a:t>* Se diferencian</a:t>
          </a:r>
          <a:r>
            <a:rPr lang="es-ES" sz="1100" b="0" baseline="0"/>
            <a:t> costes fijos de costes de mantenimiento. </a:t>
          </a:r>
        </a:p>
        <a:p>
          <a:r>
            <a:rPr lang="es-ES" sz="1100" b="0" baseline="0"/>
            <a:t>* Se debe actualizar los gastos financieros aplicados</a:t>
          </a:r>
        </a:p>
        <a:p>
          <a:r>
            <a:rPr lang="es-ES" sz="1100" b="0" baseline="0"/>
            <a:t>* A medida que sea posible, se recomienda hacer los cálculos con costes de renting mensual en lugar de amortizaciones por compra de maquinaria. </a:t>
          </a:r>
          <a:endParaRPr lang="es-ES" sz="1100" b="0"/>
        </a:p>
        <a:p>
          <a:pPr>
            <a:lnSpc>
              <a:spcPts val="1200"/>
            </a:lnSpc>
          </a:pPr>
          <a:endParaRPr lang="es-ES" sz="1100"/>
        </a:p>
        <a:p>
          <a:pPr>
            <a:lnSpc>
              <a:spcPts val="1100"/>
            </a:lnSpc>
          </a:pPr>
          <a:endParaRPr lang="es-ES" sz="11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44</xdr:col>
      <xdr:colOff>281214</xdr:colOff>
      <xdr:row>3</xdr:row>
      <xdr:rowOff>3630</xdr:rowOff>
    </xdr:from>
    <xdr:to>
      <xdr:col>51</xdr:col>
      <xdr:colOff>715737</xdr:colOff>
      <xdr:row>25</xdr:row>
      <xdr:rowOff>7258</xdr:rowOff>
    </xdr:to>
    <xdr:sp macro="" textlink="">
      <xdr:nvSpPr>
        <xdr:cNvPr id="2" name="CuadroTexto 1">
          <a:extLst>
            <a:ext uri="{FF2B5EF4-FFF2-40B4-BE49-F238E27FC236}">
              <a16:creationId xmlns:a16="http://schemas.microsoft.com/office/drawing/2014/main" id="{C761A66A-0EA0-A994-E89C-8468A45170E5}"/>
            </a:ext>
          </a:extLst>
        </xdr:cNvPr>
        <xdr:cNvSpPr txBox="1"/>
      </xdr:nvSpPr>
      <xdr:spPr>
        <a:xfrm>
          <a:off x="37608328" y="602344"/>
          <a:ext cx="5920923" cy="388982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1. </a:t>
          </a:r>
          <a:r>
            <a:rPr lang="es-ES" sz="1100" b="1"/>
            <a:t>TABLA RESUMEN COSTES DE VEHÍCULOS </a:t>
          </a:r>
        </a:p>
        <a:p>
          <a:endParaRPr lang="es-ES" sz="1100" b="1"/>
        </a:p>
        <a:p>
          <a:r>
            <a:rPr lang="es-ES" sz="1100" b="0"/>
            <a:t>*Se</a:t>
          </a:r>
          <a:r>
            <a:rPr lang="es-ES" sz="1100" b="0" baseline="0"/>
            <a:t> muestra gran cantidad de vehículos que puede ser necesaria, aunque no toda.</a:t>
          </a:r>
        </a:p>
        <a:p>
          <a:r>
            <a:rPr lang="es-ES" sz="1100" b="0" baseline="0"/>
            <a:t>* Si se pone 0 en las unidaes se pone gris claro en variables utilizadas en el cálculo, para que no conste. </a:t>
          </a:r>
          <a:endParaRPr lang="es-ES" sz="1100" b="0"/>
        </a:p>
        <a:p>
          <a:r>
            <a:rPr lang="es-ES" sz="1100" b="0"/>
            <a:t>* Se diferencian</a:t>
          </a:r>
          <a:r>
            <a:rPr lang="es-ES" sz="1100" b="0" baseline="0"/>
            <a:t> costes de amotización, finacieros, de mantenimiento y, consumibles y lubricantes para calcular las fórmulas de actualización de precios. </a:t>
          </a:r>
        </a:p>
        <a:p>
          <a:endParaRPr lang="es-ES" sz="1100"/>
        </a:p>
        <a:p>
          <a:endParaRPr lang="es-ES"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44</xdr:col>
      <xdr:colOff>0</xdr:colOff>
      <xdr:row>6</xdr:row>
      <xdr:rowOff>0</xdr:rowOff>
    </xdr:from>
    <xdr:to>
      <xdr:col>51</xdr:col>
      <xdr:colOff>438151</xdr:colOff>
      <xdr:row>17</xdr:row>
      <xdr:rowOff>108857</xdr:rowOff>
    </xdr:to>
    <xdr:sp macro="" textlink="">
      <xdr:nvSpPr>
        <xdr:cNvPr id="2" name="CuadroTexto 1">
          <a:extLst>
            <a:ext uri="{FF2B5EF4-FFF2-40B4-BE49-F238E27FC236}">
              <a16:creationId xmlns:a16="http://schemas.microsoft.com/office/drawing/2014/main" id="{9F4825BD-72D7-5B93-5EF9-9280B4377580}"/>
            </a:ext>
          </a:extLst>
        </xdr:cNvPr>
        <xdr:cNvSpPr txBox="1"/>
      </xdr:nvSpPr>
      <xdr:spPr>
        <a:xfrm>
          <a:off x="37054971" y="2188029"/>
          <a:ext cx="5924551" cy="214448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B.</a:t>
          </a:r>
          <a:r>
            <a:rPr lang="es-ES" sz="1100" b="1" baseline="0"/>
            <a:t>2. </a:t>
          </a:r>
          <a:r>
            <a:rPr lang="es-ES" sz="1100" b="1"/>
            <a:t>TABLA RESUMEN COSTES DE MAQUINARIA </a:t>
          </a:r>
        </a:p>
        <a:p>
          <a:endParaRPr lang="es-ES" sz="1100" b="1"/>
        </a:p>
        <a:p>
          <a:r>
            <a:rPr lang="es-ES" sz="1100" b="0"/>
            <a:t>*Se</a:t>
          </a:r>
          <a:r>
            <a:rPr lang="es-ES" sz="1100" b="0" baseline="0"/>
            <a:t> muestra gran cantidad de maquinaria que puede ser necesaria, aunque no toda.</a:t>
          </a:r>
        </a:p>
        <a:p>
          <a:r>
            <a:rPr lang="es-ES" sz="1100" b="0" baseline="0"/>
            <a:t>* Si se pone 0 en las unidaes se pone gris claro en variables utilizadas en el cálculo, para que no conste. </a:t>
          </a:r>
          <a:endParaRPr lang="es-ES" sz="1100" b="0"/>
        </a:p>
        <a:p>
          <a:r>
            <a:rPr lang="es-ES" sz="1100" b="0">
              <a:solidFill>
                <a:schemeClr val="dk1"/>
              </a:solidFill>
              <a:effectLst/>
              <a:latin typeface="+mn-lt"/>
              <a:ea typeface="+mn-ea"/>
              <a:cs typeface="+mn-cs"/>
            </a:rPr>
            <a:t>* Se diferencian</a:t>
          </a:r>
          <a:r>
            <a:rPr lang="es-ES" sz="1100" b="0" baseline="0">
              <a:solidFill>
                <a:schemeClr val="dk1"/>
              </a:solidFill>
              <a:effectLst/>
              <a:latin typeface="+mn-lt"/>
              <a:ea typeface="+mn-ea"/>
              <a:cs typeface="+mn-cs"/>
            </a:rPr>
            <a:t> costes de amotización, finacieros, de mantenimiento y, consumibles y lubricantes para calcular las fórmulas de actualización de precios. </a:t>
          </a:r>
          <a:endParaRPr lang="es-ES">
            <a:effectLst/>
          </a:endParaRPr>
        </a:p>
        <a:p>
          <a:endParaRPr lang="es-ES" sz="1100"/>
        </a:p>
        <a:p>
          <a:endParaRPr lang="es-ES"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19048</xdr:colOff>
      <xdr:row>2</xdr:row>
      <xdr:rowOff>9525</xdr:rowOff>
    </xdr:from>
    <xdr:to>
      <xdr:col>27</xdr:col>
      <xdr:colOff>19049</xdr:colOff>
      <xdr:row>7</xdr:row>
      <xdr:rowOff>0</xdr:rowOff>
    </xdr:to>
    <xdr:sp macro="" textlink="">
      <xdr:nvSpPr>
        <xdr:cNvPr id="2" name="CuadroTexto 1">
          <a:extLst>
            <a:ext uri="{FF2B5EF4-FFF2-40B4-BE49-F238E27FC236}">
              <a16:creationId xmlns:a16="http://schemas.microsoft.com/office/drawing/2014/main" id="{AFC12219-1257-7546-06A6-F6CDBED74DC7}"/>
            </a:ext>
          </a:extLst>
        </xdr:cNvPr>
        <xdr:cNvSpPr txBox="1"/>
      </xdr:nvSpPr>
      <xdr:spPr>
        <a:xfrm>
          <a:off x="8930005" y="247650"/>
          <a:ext cx="5782945" cy="1038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 </a:t>
          </a:r>
          <a:r>
            <a:rPr lang="es-ES" sz="1100" b="1"/>
            <a:t>TABLA RESUMEN COSTES DE VESTUARIO, EQUIPAMIENTOS,</a:t>
          </a:r>
          <a:r>
            <a:rPr lang="es-ES" sz="1100" b="1" baseline="0"/>
            <a:t> UTILES Y HERRAMIENTAS</a:t>
          </a:r>
          <a:endParaRPr lang="es-ES" sz="1100" b="1"/>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a:t>
          </a:r>
          <a:r>
            <a:rPr lang="es-ES" sz="1100" b="0" i="0" u="none" strike="noStrike" baseline="0">
              <a:solidFill>
                <a:schemeClr val="dk1"/>
              </a:solidFill>
              <a:effectLst/>
              <a:latin typeface="+mn-lt"/>
              <a:ea typeface="+mn-ea"/>
              <a:cs typeface="+mn-cs"/>
            </a:rPr>
            <a:t> Se deben actualizar los gastos financieros si procede. </a:t>
          </a:r>
          <a:endParaRPr lang="es-ES" sz="1100" b="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0</xdr:colOff>
      <xdr:row>8</xdr:row>
      <xdr:rowOff>0</xdr:rowOff>
    </xdr:from>
    <xdr:to>
      <xdr:col>17</xdr:col>
      <xdr:colOff>438151</xdr:colOff>
      <xdr:row>13</xdr:row>
      <xdr:rowOff>180975</xdr:rowOff>
    </xdr:to>
    <xdr:sp macro="" textlink="">
      <xdr:nvSpPr>
        <xdr:cNvPr id="2" name="CuadroTexto 1">
          <a:extLst>
            <a:ext uri="{FF2B5EF4-FFF2-40B4-BE49-F238E27FC236}">
              <a16:creationId xmlns:a16="http://schemas.microsoft.com/office/drawing/2014/main" id="{F211656F-49F3-5B8E-4D30-D9328BC9B102}"/>
            </a:ext>
          </a:extLst>
        </xdr:cNvPr>
        <xdr:cNvSpPr txBox="1"/>
      </xdr:nvSpPr>
      <xdr:spPr>
        <a:xfrm>
          <a:off x="9266555" y="1804035"/>
          <a:ext cx="5776595" cy="11811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1.1 TABLA CÁLCULO VESTUARIO</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a:t>
          </a:r>
          <a:r>
            <a:rPr lang="es-ES" sz="1100" b="0" i="0" u="none" strike="noStrike" baseline="0">
              <a:solidFill>
                <a:schemeClr val="dk1"/>
              </a:solidFill>
              <a:effectLst/>
              <a:latin typeface="+mn-lt"/>
              <a:ea typeface="+mn-ea"/>
              <a:cs typeface="+mn-cs"/>
            </a:rPr>
            <a:t> Se calculan los costes de vestuario en función del personal operativo indicado en las tablas A1 y A2. </a:t>
          </a:r>
        </a:p>
        <a:p>
          <a:r>
            <a:rPr lang="es-ES" sz="1100" b="0"/>
            <a:t>* Se calcula</a:t>
          </a:r>
          <a:r>
            <a:rPr lang="es-ES" sz="1100" b="0" baseline="0"/>
            <a:t> coste de prenda de abrigo y calzado apropiado para el personal técnico. </a:t>
          </a:r>
        </a:p>
        <a:p>
          <a:r>
            <a:rPr lang="es-ES" sz="1100" b="0" baseline="0"/>
            <a:t>* Se deben estimar/actualizar los gastos financieros si procede</a:t>
          </a:r>
          <a:endParaRPr lang="es-ES" sz="1100" b="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0</xdr:colOff>
      <xdr:row>7</xdr:row>
      <xdr:rowOff>0</xdr:rowOff>
    </xdr:from>
    <xdr:to>
      <xdr:col>20</xdr:col>
      <xdr:colOff>190500</xdr:colOff>
      <xdr:row>13</xdr:row>
      <xdr:rowOff>28575</xdr:rowOff>
    </xdr:to>
    <xdr:sp macro="" textlink="">
      <xdr:nvSpPr>
        <xdr:cNvPr id="2" name="CuadroTexto 1">
          <a:extLst>
            <a:ext uri="{FF2B5EF4-FFF2-40B4-BE49-F238E27FC236}">
              <a16:creationId xmlns:a16="http://schemas.microsoft.com/office/drawing/2014/main" id="{5C424DB2-3F4A-2407-2ABC-E85C159E7AC7}"/>
            </a:ext>
          </a:extLst>
        </xdr:cNvPr>
        <xdr:cNvSpPr txBox="1"/>
      </xdr:nvSpPr>
      <xdr:spPr>
        <a:xfrm>
          <a:off x="8161020" y="2009775"/>
          <a:ext cx="6291580" cy="15601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1.2 TABLA CÁLCULO COSTES DE EQUIPOS DE PROTECCIÓN INDIVIDUAL Y COLECTIVA</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*Se</a:t>
          </a:r>
          <a:r>
            <a:rPr lang="es-ES" sz="1100" b="0" i="0" u="none" strike="noStrike" baseline="0">
              <a:solidFill>
                <a:schemeClr val="dk1"/>
              </a:solidFill>
              <a:effectLst/>
              <a:latin typeface="+mn-lt"/>
              <a:ea typeface="+mn-ea"/>
              <a:cs typeface="+mn-cs"/>
            </a:rPr>
            <a:t> estiman los cálculos en función de los EPIS necesarios por cada 10 personas del personal operativo calculados en las tablas A1 y A2 para un servicio de estas características.</a:t>
          </a:r>
          <a:endParaRPr lang="es-ES" sz="1100" b="0" i="0" u="none" strike="noStrike">
            <a:solidFill>
              <a:schemeClr val="dk1"/>
            </a:solidFill>
            <a:effectLst/>
            <a:latin typeface="+mn-lt"/>
            <a:ea typeface="+mn-ea"/>
            <a:cs typeface="+mn-cs"/>
          </a:endParaRPr>
        </a:p>
        <a:p>
          <a:r>
            <a:rPr lang="es-ES" sz="1100" b="0"/>
            <a:t>* Para el personal administrativo y técnico adscrito al servicio,</a:t>
          </a:r>
          <a:r>
            <a:rPr lang="es-ES" sz="1100" b="0" baseline="0"/>
            <a:t> </a:t>
          </a:r>
          <a:r>
            <a:rPr lang="es-ES" sz="1100" b="0"/>
            <a:t>se</a:t>
          </a:r>
          <a:r>
            <a:rPr lang="es-ES" sz="1100" b="0" baseline="0"/>
            <a:t> incluyen los gastos de formación en Segu</a:t>
          </a:r>
        </a:p>
        <a:p>
          <a:r>
            <a:rPr lang="es-ES" sz="1100" b="0" baseline="0"/>
            <a:t>ridad y Salud y los reconocimientos médicos.  </a:t>
          </a:r>
        </a:p>
        <a:p>
          <a:pPr marL="0" marR="0" lvl="0" indent="0" defTabSz="914400" eaLnBrk="1" fontAlgn="auto" latinLnBrk="0" hangingPunct="1">
            <a:lnSpc>
              <a:spcPct val="100000"/>
            </a:lnSpc>
            <a:spcBef>
              <a:spcPts val="0"/>
            </a:spcBef>
            <a:spcAft>
              <a:spcPts val="0"/>
            </a:spcAft>
            <a:buClrTx/>
            <a:buSzTx/>
            <a:buFontTx/>
            <a:buNone/>
            <a:defRPr/>
          </a:pPr>
          <a:r>
            <a:rPr lang="es-ES" sz="1100" b="0" baseline="0">
              <a:solidFill>
                <a:schemeClr val="dk1"/>
              </a:solidFill>
              <a:effectLst/>
              <a:latin typeface="+mn-lt"/>
              <a:ea typeface="+mn-ea"/>
              <a:cs typeface="+mn-cs"/>
            </a:rPr>
            <a:t>* Se deben estimar/actualizar los gastos financieros si procede</a:t>
          </a:r>
          <a:endParaRPr lang="es-ES">
            <a:effectLst/>
          </a:endParaRPr>
        </a:p>
        <a:p>
          <a:endParaRPr lang="es-ES" sz="1100" b="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0</xdr:colOff>
      <xdr:row>8</xdr:row>
      <xdr:rowOff>0</xdr:rowOff>
    </xdr:from>
    <xdr:to>
      <xdr:col>20</xdr:col>
      <xdr:colOff>190500</xdr:colOff>
      <xdr:row>15</xdr:row>
      <xdr:rowOff>180975</xdr:rowOff>
    </xdr:to>
    <xdr:sp macro="" textlink="">
      <xdr:nvSpPr>
        <xdr:cNvPr id="2" name="CuadroTexto 1">
          <a:extLst>
            <a:ext uri="{FF2B5EF4-FFF2-40B4-BE49-F238E27FC236}">
              <a16:creationId xmlns:a16="http://schemas.microsoft.com/office/drawing/2014/main" id="{AE0522BF-8947-3D5E-E42E-C4E1A92ADBCB}"/>
            </a:ext>
          </a:extLst>
        </xdr:cNvPr>
        <xdr:cNvSpPr txBox="1"/>
      </xdr:nvSpPr>
      <xdr:spPr>
        <a:xfrm>
          <a:off x="7578090" y="1914525"/>
          <a:ext cx="6057900" cy="15144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C</a:t>
          </a:r>
          <a:r>
            <a:rPr lang="es-ES" sz="1100" b="1" baseline="0"/>
            <a:t>.2 TABLA CÁLCULO COSTES DE ÚTILES Y HERRAMIENTAS</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*Se</a:t>
          </a:r>
          <a:r>
            <a:rPr lang="es-ES" sz="1100" b="0" i="0" u="none" strike="noStrike" baseline="0">
              <a:solidFill>
                <a:schemeClr val="dk1"/>
              </a:solidFill>
              <a:effectLst/>
              <a:latin typeface="+mn-lt"/>
              <a:ea typeface="+mn-ea"/>
              <a:cs typeface="+mn-cs"/>
            </a:rPr>
            <a:t> estiman los cálculos en función de los útiles y herramientas necesarios por cada 10 personas del personal operativo calculados en las tablas A1 y A2 para un servicio de estas características.</a:t>
          </a:r>
          <a:endParaRPr lang="es-ES" sz="1100" b="0" i="0" u="none" strike="noStrike">
            <a:solidFill>
              <a:schemeClr val="dk1"/>
            </a:solidFill>
            <a:effectLst/>
            <a:latin typeface="+mn-lt"/>
            <a:ea typeface="+mn-ea"/>
            <a:cs typeface="+mn-cs"/>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19048</xdr:colOff>
      <xdr:row>2</xdr:row>
      <xdr:rowOff>9525</xdr:rowOff>
    </xdr:from>
    <xdr:to>
      <xdr:col>27</xdr:col>
      <xdr:colOff>19049</xdr:colOff>
      <xdr:row>5</xdr:row>
      <xdr:rowOff>0</xdr:rowOff>
    </xdr:to>
    <xdr:sp macro="" textlink="">
      <xdr:nvSpPr>
        <xdr:cNvPr id="2" name="CuadroTexto 1">
          <a:extLst>
            <a:ext uri="{FF2B5EF4-FFF2-40B4-BE49-F238E27FC236}">
              <a16:creationId xmlns:a16="http://schemas.microsoft.com/office/drawing/2014/main" id="{6CD6057A-2C86-101D-748C-13E1174B5B6B}"/>
            </a:ext>
          </a:extLst>
        </xdr:cNvPr>
        <xdr:cNvSpPr txBox="1"/>
      </xdr:nvSpPr>
      <xdr:spPr>
        <a:xfrm>
          <a:off x="8930005" y="247650"/>
          <a:ext cx="5782945" cy="657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D.</a:t>
          </a:r>
          <a:r>
            <a:rPr lang="es-ES" sz="1100" b="1" baseline="0"/>
            <a:t> </a:t>
          </a:r>
          <a:r>
            <a:rPr lang="es-ES" sz="1100" b="1"/>
            <a:t>TABLA RESUMEN COSTES DE LOCALES E INSTALACIONES</a:t>
          </a:r>
        </a:p>
        <a:p>
          <a:r>
            <a:rPr lang="es-ES" sz="1100" b="0"/>
            <a:t>* Se amortizan los costes de las obras de remodelación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30480</xdr:colOff>
      <xdr:row>3</xdr:row>
      <xdr:rowOff>45720</xdr:rowOff>
    </xdr:from>
    <xdr:to>
      <xdr:col>17</xdr:col>
      <xdr:colOff>167640</xdr:colOff>
      <xdr:row>7</xdr:row>
      <xdr:rowOff>133350</xdr:rowOff>
    </xdr:to>
    <xdr:pic>
      <xdr:nvPicPr>
        <xdr:cNvPr id="4097" name="Imagen 1">
          <a:extLst>
            <a:ext uri="{FF2B5EF4-FFF2-40B4-BE49-F238E27FC236}">
              <a16:creationId xmlns:a16="http://schemas.microsoft.com/office/drawing/2014/main" id="{D158E1F6-AD74-7015-6150-485D7ABE7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434340"/>
          <a:ext cx="1470660" cy="746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15240</xdr:colOff>
      <xdr:row>26</xdr:row>
      <xdr:rowOff>22860</xdr:rowOff>
    </xdr:from>
    <xdr:to>
      <xdr:col>50</xdr:col>
      <xdr:colOff>228600</xdr:colOff>
      <xdr:row>38</xdr:row>
      <xdr:rowOff>38100</xdr:rowOff>
    </xdr:to>
    <xdr:pic>
      <xdr:nvPicPr>
        <xdr:cNvPr id="4098" name="Imagen 2">
          <a:extLst>
            <a:ext uri="{FF2B5EF4-FFF2-40B4-BE49-F238E27FC236}">
              <a16:creationId xmlns:a16="http://schemas.microsoft.com/office/drawing/2014/main" id="{617FF483-77AD-AB13-4563-996134A882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3760" y="3352800"/>
          <a:ext cx="6301740" cy="149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8</xdr:col>
      <xdr:colOff>76198</xdr:colOff>
      <xdr:row>1</xdr:row>
      <xdr:rowOff>276225</xdr:rowOff>
    </xdr:from>
    <xdr:to>
      <xdr:col>18</xdr:col>
      <xdr:colOff>409574</xdr:colOff>
      <xdr:row>9</xdr:row>
      <xdr:rowOff>142875</xdr:rowOff>
    </xdr:to>
    <xdr:sp macro="" textlink="">
      <xdr:nvSpPr>
        <xdr:cNvPr id="2" name="CuadroTexto 1">
          <a:extLst>
            <a:ext uri="{FF2B5EF4-FFF2-40B4-BE49-F238E27FC236}">
              <a16:creationId xmlns:a16="http://schemas.microsoft.com/office/drawing/2014/main" id="{7E400A7B-AE89-F350-B87F-E63DF4CEE900}"/>
            </a:ext>
          </a:extLst>
        </xdr:cNvPr>
        <xdr:cNvSpPr txBox="1"/>
      </xdr:nvSpPr>
      <xdr:spPr>
        <a:xfrm>
          <a:off x="8214360" y="466725"/>
          <a:ext cx="5782945" cy="17716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D.1. TABLA DE COSTES FIJOS</a:t>
          </a:r>
          <a:r>
            <a:rPr lang="es-ES" sz="1100" b="1" baseline="0"/>
            <a:t> </a:t>
          </a:r>
          <a:r>
            <a:rPr lang="es-ES" sz="1100" b="1"/>
            <a:t>DE LOCALES E INSTALACIONES</a:t>
          </a:r>
        </a:p>
        <a:p>
          <a:endParaRPr lang="es-ES" sz="1100" b="1"/>
        </a:p>
        <a:p>
          <a:r>
            <a:rPr lang="es-ES" sz="1100" b="1"/>
            <a:t>*</a:t>
          </a:r>
          <a:r>
            <a:rPr lang="es-ES" sz="1100" b="0"/>
            <a:t> Se incluirá este coste si es necesario alquilar algún tipo de nave/s u</a:t>
          </a:r>
          <a:r>
            <a:rPr lang="es-ES" sz="1100" b="0" baseline="0"/>
            <a:t> oficina técnica de forma específica para el adecuado desarrollo del contrato. </a:t>
          </a:r>
        </a:p>
        <a:p>
          <a:r>
            <a:rPr lang="es-ES" sz="1100" b="0" baseline="0"/>
            <a:t>* El coste anual se realiza a partir de las superficies de instalaciones estimadas para poder albergar todos los vehículos y maquinaria disponibles. </a:t>
          </a:r>
        </a:p>
        <a:p>
          <a:r>
            <a:rPr lang="es-ES" sz="1100" b="0" baseline="0"/>
            <a:t>* El precio del m2 debe ajustarse a cada municipio, pues es un dato que puede variar ampliamente. </a:t>
          </a:r>
        </a:p>
        <a:p>
          <a:r>
            <a:rPr lang="es-ES" sz="1100" b="0" baseline="0"/>
            <a:t>Si la nave se compra, deberá realizarse su correspondiente estudio financiero.</a:t>
          </a:r>
        </a:p>
      </xdr:txBody>
    </xdr:sp>
    <xdr:clientData/>
  </xdr:twoCellAnchor>
  <xdr:twoCellAnchor>
    <xdr:from>
      <xdr:col>9</xdr:col>
      <xdr:colOff>710089</xdr:colOff>
      <xdr:row>15</xdr:row>
      <xdr:rowOff>64294</xdr:rowOff>
    </xdr:from>
    <xdr:to>
      <xdr:col>20</xdr:col>
      <xdr:colOff>483395</xdr:colOff>
      <xdr:row>20</xdr:row>
      <xdr:rowOff>31909</xdr:rowOff>
    </xdr:to>
    <xdr:sp macro="" textlink="">
      <xdr:nvSpPr>
        <xdr:cNvPr id="3" name="CuadroTexto 2">
          <a:extLst>
            <a:ext uri="{FF2B5EF4-FFF2-40B4-BE49-F238E27FC236}">
              <a16:creationId xmlns:a16="http://schemas.microsoft.com/office/drawing/2014/main" id="{163E01C6-3962-12AD-A5A4-DEBCC483F43F}"/>
            </a:ext>
          </a:extLst>
        </xdr:cNvPr>
        <xdr:cNvSpPr txBox="1"/>
      </xdr:nvSpPr>
      <xdr:spPr>
        <a:xfrm>
          <a:off x="9835039" y="3283744"/>
          <a:ext cx="6136006" cy="126301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D.2. TABLA DE COSTES VARIABLES</a:t>
          </a:r>
          <a:r>
            <a:rPr lang="es-ES" sz="1100" b="1" baseline="0"/>
            <a:t> </a:t>
          </a:r>
          <a:r>
            <a:rPr lang="es-ES" sz="1100" b="1"/>
            <a:t>DE LOCALES E INSTALACIONES</a:t>
          </a:r>
        </a:p>
        <a:p>
          <a:endParaRPr lang="es-ES" sz="1100" b="1"/>
        </a:p>
        <a:p>
          <a:r>
            <a:rPr lang="es-ES" sz="1100" b="1"/>
            <a:t>*</a:t>
          </a:r>
          <a:r>
            <a:rPr lang="es-ES" sz="1100" b="0"/>
            <a:t> Si</a:t>
          </a:r>
          <a:r>
            <a:rPr lang="es-ES" sz="1100" b="0" baseline="0"/>
            <a:t> en el pliego se exige que las naves deben estar acondicionadas, se deberán estimar estos costes, bien sean en instalaciones cedidas por el Ayuntamiento o en las instalaciones alquiladas. </a:t>
          </a:r>
        </a:p>
        <a:p>
          <a:r>
            <a:rPr lang="es-ES" sz="1100" b="0" baseline="0"/>
            <a:t>* Se deberá calcular, además, el gasto de consumibles (luz, agua, gas, etc.). para que las instalaciones funcionen adecuadamente. </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19048</xdr:colOff>
      <xdr:row>2</xdr:row>
      <xdr:rowOff>9525</xdr:rowOff>
    </xdr:from>
    <xdr:to>
      <xdr:col>27</xdr:col>
      <xdr:colOff>19049</xdr:colOff>
      <xdr:row>5</xdr:row>
      <xdr:rowOff>0</xdr:rowOff>
    </xdr:to>
    <xdr:sp macro="" textlink="">
      <xdr:nvSpPr>
        <xdr:cNvPr id="2" name="CuadroTexto 1">
          <a:extLst>
            <a:ext uri="{FF2B5EF4-FFF2-40B4-BE49-F238E27FC236}">
              <a16:creationId xmlns:a16="http://schemas.microsoft.com/office/drawing/2014/main" id="{C5D311BA-8487-1C4D-D959-544E98F6569A}"/>
            </a:ext>
          </a:extLst>
        </xdr:cNvPr>
        <xdr:cNvSpPr txBox="1"/>
      </xdr:nvSpPr>
      <xdr:spPr>
        <a:xfrm>
          <a:off x="8930005" y="247650"/>
          <a:ext cx="5782945" cy="6572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a:t>
          </a:r>
          <a:r>
            <a:rPr lang="es-ES" sz="1100" b="1" baseline="0"/>
            <a:t> </a:t>
          </a:r>
          <a:r>
            <a:rPr lang="es-ES" sz="1100" b="1"/>
            <a:t>TABLA RESUMEN COSTES MATERIALES DE CONSERVACIÓN</a:t>
          </a:r>
        </a:p>
        <a:p>
          <a:endParaRPr lang="es-E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0</xdr:colOff>
      <xdr:row>3</xdr:row>
      <xdr:rowOff>0</xdr:rowOff>
    </xdr:from>
    <xdr:to>
      <xdr:col>19</xdr:col>
      <xdr:colOff>444501</xdr:colOff>
      <xdr:row>7</xdr:row>
      <xdr:rowOff>166687</xdr:rowOff>
    </xdr:to>
    <xdr:sp macro="" textlink="">
      <xdr:nvSpPr>
        <xdr:cNvPr id="2" name="CuadroTexto 1">
          <a:extLst>
            <a:ext uri="{FF2B5EF4-FFF2-40B4-BE49-F238E27FC236}">
              <a16:creationId xmlns:a16="http://schemas.microsoft.com/office/drawing/2014/main" id="{60AD85D5-C389-6739-D5F7-286F08754702}"/>
            </a:ext>
          </a:extLst>
        </xdr:cNvPr>
        <xdr:cNvSpPr txBox="1"/>
      </xdr:nvSpPr>
      <xdr:spPr>
        <a:xfrm>
          <a:off x="16163290" y="876300"/>
          <a:ext cx="5578475" cy="92837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E.1.</a:t>
          </a:r>
          <a:r>
            <a:rPr lang="es-ES" sz="1100" b="1" baseline="0"/>
            <a:t> </a:t>
          </a:r>
          <a:r>
            <a:rPr lang="es-ES" sz="1100" b="1"/>
            <a:t>TABLA COSTES MATERIAS PRIMAS</a:t>
          </a:r>
        </a:p>
        <a:p>
          <a:endParaRPr lang="es-ES" sz="1100" b="1"/>
        </a:p>
        <a:p>
          <a:r>
            <a:rPr lang="es-ES" sz="1100" b="1"/>
            <a:t>*</a:t>
          </a:r>
          <a:r>
            <a:rPr lang="es-ES" sz="1100" b="0"/>
            <a:t>Se determinan los materiales que se sabe que se van utilizar en funcion de las características del contrato</a:t>
          </a:r>
        </a:p>
        <a:p>
          <a:endParaRPr lang="es-E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0</xdr:colOff>
      <xdr:row>1</xdr:row>
      <xdr:rowOff>0</xdr:rowOff>
    </xdr:from>
    <xdr:to>
      <xdr:col>13</xdr:col>
      <xdr:colOff>444501</xdr:colOff>
      <xdr:row>5</xdr:row>
      <xdr:rowOff>166687</xdr:rowOff>
    </xdr:to>
    <xdr:sp macro="" textlink="">
      <xdr:nvSpPr>
        <xdr:cNvPr id="2" name="CuadroTexto 1">
          <a:extLst>
            <a:ext uri="{FF2B5EF4-FFF2-40B4-BE49-F238E27FC236}">
              <a16:creationId xmlns:a16="http://schemas.microsoft.com/office/drawing/2014/main" id="{E0446062-3AF6-6574-49F0-C2AD7095C206}"/>
            </a:ext>
          </a:extLst>
        </xdr:cNvPr>
        <xdr:cNvSpPr txBox="1"/>
      </xdr:nvSpPr>
      <xdr:spPr>
        <a:xfrm>
          <a:off x="6348730" y="190500"/>
          <a:ext cx="5578475" cy="92837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E.2.</a:t>
          </a:r>
          <a:r>
            <a:rPr lang="es-ES" sz="1100" b="1" baseline="0"/>
            <a:t> </a:t>
          </a:r>
          <a:r>
            <a:rPr lang="es-ES" sz="1100" b="1"/>
            <a:t>TABLA COSTES PRODUCTOS</a:t>
          </a:r>
          <a:r>
            <a:rPr lang="es-ES" sz="1100" b="1" baseline="0"/>
            <a:t> FITOSANITARIOS</a:t>
          </a:r>
          <a:endParaRPr lang="es-ES" sz="1100" b="1"/>
        </a:p>
        <a:p>
          <a:endParaRPr lang="es-ES" sz="1100" b="1"/>
        </a:p>
        <a:p>
          <a:r>
            <a:rPr lang="es-ES" sz="1100" b="1"/>
            <a:t>*</a:t>
          </a:r>
          <a:r>
            <a:rPr lang="es-ES" sz="1100" b="0"/>
            <a:t>Se determinan los materiales que se sabe que se van utilizar en funcion de las características del contrato</a:t>
          </a:r>
        </a:p>
        <a:p>
          <a:endParaRPr lang="es-E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16</xdr:col>
      <xdr:colOff>19048</xdr:colOff>
      <xdr:row>2</xdr:row>
      <xdr:rowOff>9525</xdr:rowOff>
    </xdr:from>
    <xdr:to>
      <xdr:col>25</xdr:col>
      <xdr:colOff>19049</xdr:colOff>
      <xdr:row>6</xdr:row>
      <xdr:rowOff>0</xdr:rowOff>
    </xdr:to>
    <xdr:sp macro="" textlink="">
      <xdr:nvSpPr>
        <xdr:cNvPr id="2" name="CuadroTexto 1">
          <a:extLst>
            <a:ext uri="{FF2B5EF4-FFF2-40B4-BE49-F238E27FC236}">
              <a16:creationId xmlns:a16="http://schemas.microsoft.com/office/drawing/2014/main" id="{758113D3-48C2-FD5B-CF6E-9734DDEC57A9}"/>
            </a:ext>
          </a:extLst>
        </xdr:cNvPr>
        <xdr:cNvSpPr txBox="1"/>
      </xdr:nvSpPr>
      <xdr:spPr>
        <a:xfrm>
          <a:off x="8441055" y="247650"/>
          <a:ext cx="5782945" cy="8477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 </a:t>
          </a:r>
          <a:r>
            <a:rPr lang="es-ES" sz="1100" b="1"/>
            <a:t>TABLA RESUMEN OTROS COSTES</a:t>
          </a:r>
        </a:p>
        <a:p>
          <a:endParaRPr lang="es-ES" sz="1100" b="1"/>
        </a:p>
        <a:p>
          <a:r>
            <a:rPr lang="es-ES" sz="1100" b="0"/>
            <a:t>* Se incluyen</a:t>
          </a:r>
          <a:r>
            <a:rPr lang="es-ES" sz="1100" b="0" baseline="0"/>
            <a:t> todos los costes que se exijan en el pliego</a:t>
          </a:r>
        </a:p>
        <a:p>
          <a:r>
            <a:rPr lang="es-ES" sz="1100" b="0" baseline="0"/>
            <a:t>* Sólo se calculan los costes de amortización relativos al hardware y dispositivos electrónicos. </a:t>
          </a:r>
          <a:endParaRPr lang="es-ES" sz="1100" b="0"/>
        </a:p>
        <a:p>
          <a:endParaRPr lang="es-ES" sz="1100" b="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0</xdr:colOff>
      <xdr:row>11</xdr:row>
      <xdr:rowOff>0</xdr:rowOff>
    </xdr:from>
    <xdr:to>
      <xdr:col>19</xdr:col>
      <xdr:colOff>438151</xdr:colOff>
      <xdr:row>15</xdr:row>
      <xdr:rowOff>85725</xdr:rowOff>
    </xdr:to>
    <xdr:sp macro="" textlink="">
      <xdr:nvSpPr>
        <xdr:cNvPr id="2" name="CuadroTexto 1">
          <a:extLst>
            <a:ext uri="{FF2B5EF4-FFF2-40B4-BE49-F238E27FC236}">
              <a16:creationId xmlns:a16="http://schemas.microsoft.com/office/drawing/2014/main" id="{EF231DC0-2382-4C15-A394-6BD0F340FC7F}"/>
            </a:ext>
          </a:extLst>
        </xdr:cNvPr>
        <xdr:cNvSpPr txBox="1"/>
      </xdr:nvSpPr>
      <xdr:spPr>
        <a:xfrm>
          <a:off x="11740515" y="2476500"/>
          <a:ext cx="5776595" cy="8477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1. </a:t>
          </a:r>
          <a:r>
            <a:rPr lang="es-ES" sz="1100" b="1"/>
            <a:t>TABLA COSTES EQUIPOS TECNOLÓGICOS Y DE SOFTWARE</a:t>
          </a:r>
        </a:p>
        <a:p>
          <a:endParaRPr lang="es-ES" sz="1100" b="1"/>
        </a:p>
        <a:p>
          <a:r>
            <a:rPr lang="es-ES" sz="1100" b="0"/>
            <a:t>* Se incluyen</a:t>
          </a:r>
          <a:r>
            <a:rPr lang="es-ES" sz="1100" b="0" baseline="0"/>
            <a:t> todos los costes que se exijan en el pliego relativo a este capítulo</a:t>
          </a:r>
          <a:endParaRPr lang="es-ES" sz="1100" b="0"/>
        </a:p>
        <a:p>
          <a:endParaRPr lang="es-ES" sz="1100" b="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7</xdr:col>
      <xdr:colOff>0</xdr:colOff>
      <xdr:row>3</xdr:row>
      <xdr:rowOff>0</xdr:rowOff>
    </xdr:from>
    <xdr:to>
      <xdr:col>14</xdr:col>
      <xdr:colOff>438151</xdr:colOff>
      <xdr:row>7</xdr:row>
      <xdr:rowOff>85725</xdr:rowOff>
    </xdr:to>
    <xdr:sp macro="" textlink="">
      <xdr:nvSpPr>
        <xdr:cNvPr id="2" name="CuadroTexto 1">
          <a:extLst>
            <a:ext uri="{FF2B5EF4-FFF2-40B4-BE49-F238E27FC236}">
              <a16:creationId xmlns:a16="http://schemas.microsoft.com/office/drawing/2014/main" id="{5868A63F-9A30-9F74-356F-20CECC5F67B9}"/>
            </a:ext>
          </a:extLst>
        </xdr:cNvPr>
        <xdr:cNvSpPr txBox="1"/>
      </xdr:nvSpPr>
      <xdr:spPr>
        <a:xfrm>
          <a:off x="8688705" y="952500"/>
          <a:ext cx="5776595" cy="8477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2. </a:t>
          </a:r>
          <a:r>
            <a:rPr lang="es-ES" sz="1100" b="1"/>
            <a:t>TABLA COSTES REVISIÓN</a:t>
          </a:r>
          <a:r>
            <a:rPr lang="es-ES" sz="1100" b="1" baseline="0"/>
            <a:t> Y ACTUALIZACIÓN DE INVENTARIO</a:t>
          </a:r>
          <a:endParaRPr lang="es-ES" sz="1100" b="1"/>
        </a:p>
        <a:p>
          <a:endParaRPr lang="es-ES" sz="1100" b="1"/>
        </a:p>
        <a:p>
          <a:r>
            <a:rPr lang="es-ES" sz="1100" b="0"/>
            <a:t>* Se incluyen</a:t>
          </a:r>
          <a:r>
            <a:rPr lang="es-ES" sz="1100" b="0" baseline="0"/>
            <a:t> todos los costes que se exijan en el pliego relativo a este capítulo</a:t>
          </a:r>
          <a:endParaRPr lang="es-ES" sz="1100" b="0"/>
        </a:p>
        <a:p>
          <a:endParaRPr lang="es-ES" sz="1100" b="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0</xdr:colOff>
      <xdr:row>3</xdr:row>
      <xdr:rowOff>1</xdr:rowOff>
    </xdr:from>
    <xdr:to>
      <xdr:col>14</xdr:col>
      <xdr:colOff>438151</xdr:colOff>
      <xdr:row>17</xdr:row>
      <xdr:rowOff>42333</xdr:rowOff>
    </xdr:to>
    <xdr:sp macro="" textlink="">
      <xdr:nvSpPr>
        <xdr:cNvPr id="2" name="CuadroTexto 1">
          <a:extLst>
            <a:ext uri="{FF2B5EF4-FFF2-40B4-BE49-F238E27FC236}">
              <a16:creationId xmlns:a16="http://schemas.microsoft.com/office/drawing/2014/main" id="{A01C7F59-8D26-709B-43DD-875C2CF23A40}"/>
            </a:ext>
          </a:extLst>
        </xdr:cNvPr>
        <xdr:cNvSpPr txBox="1"/>
      </xdr:nvSpPr>
      <xdr:spPr>
        <a:xfrm>
          <a:off x="7844155" y="952500"/>
          <a:ext cx="5776595" cy="270891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3. </a:t>
          </a:r>
          <a:r>
            <a:rPr lang="es-ES" sz="1100" b="1"/>
            <a:t>TABLA COSTES DE</a:t>
          </a:r>
          <a:r>
            <a:rPr lang="es-ES" sz="1100" b="1" baseline="0"/>
            <a:t> SERVICIOS PROFESIONALES</a:t>
          </a:r>
          <a:endParaRPr lang="es-ES" sz="1100" b="1"/>
        </a:p>
        <a:p>
          <a:endParaRPr lang="es-ES" sz="1100" b="1"/>
        </a:p>
        <a:p>
          <a:r>
            <a:rPr lang="es-ES" sz="1100" b="0"/>
            <a:t>* En función</a:t>
          </a:r>
          <a:r>
            <a:rPr lang="es-ES" sz="1100" b="0" baseline="0"/>
            <a:t> de las necesidades detectadas en el Estudio Técnico y del alcance de lo que se incorpore al Pliego de Prescripciones Técnicas, se calcularán los siguientes apartados. </a:t>
          </a:r>
        </a:p>
        <a:p>
          <a:endParaRPr lang="es-ES" sz="1100" b="0" baseline="0"/>
        </a:p>
        <a:p>
          <a:r>
            <a:rPr lang="es-ES" sz="1100" b="0" baseline="0"/>
            <a:t>* Son conceptos muy amplios y variables, y bajo el mismo título el </a:t>
          </a:r>
          <a:r>
            <a:rPr lang="es-ES" sz="1100" b="1" baseline="0"/>
            <a:t>alcance</a:t>
          </a:r>
          <a:r>
            <a:rPr lang="es-ES" sz="1100" b="0" baseline="0"/>
            <a:t> puede variar enormemente,  y en la mayor parte de las situaciones es necesario realizar estudios económicos diferenciados o solicitarlos a empresas especializadas para tener una referencia. </a:t>
          </a:r>
        </a:p>
        <a:p>
          <a:endParaRPr lang="es-ES" sz="1100" b="0" baseline="0"/>
        </a:p>
        <a:p>
          <a:r>
            <a:rPr lang="es-ES" sz="1100" b="0" baseline="0"/>
            <a:t>* Este tipo de costes pueden incorporarse al estudio económico por Canon o por Medición/Suministro, según se considere. </a:t>
          </a:r>
        </a:p>
        <a:p>
          <a:endParaRPr lang="es-ES" sz="1100" b="0" baseline="0"/>
        </a:p>
        <a:p>
          <a:r>
            <a:rPr lang="es-ES" sz="1100" b="0" baseline="0"/>
            <a:t>* Puede ser recomendable que estudios o acciones puntuales se saquen por medición y acciones que se realicen de forma sistemática a lo largo de todos los años del servicio se saque por canon. </a:t>
          </a:r>
          <a:endParaRPr lang="es-ES" sz="1100" b="0"/>
        </a:p>
        <a:p>
          <a:endParaRPr lang="es-ES" sz="1100" b="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0</xdr:colOff>
      <xdr:row>2</xdr:row>
      <xdr:rowOff>0</xdr:rowOff>
    </xdr:from>
    <xdr:to>
      <xdr:col>16</xdr:col>
      <xdr:colOff>438151</xdr:colOff>
      <xdr:row>8</xdr:row>
      <xdr:rowOff>0</xdr:rowOff>
    </xdr:to>
    <xdr:sp macro="" textlink="">
      <xdr:nvSpPr>
        <xdr:cNvPr id="2" name="CuadroTexto 1">
          <a:extLst>
            <a:ext uri="{FF2B5EF4-FFF2-40B4-BE49-F238E27FC236}">
              <a16:creationId xmlns:a16="http://schemas.microsoft.com/office/drawing/2014/main" id="{BE7F333C-8AC7-9BBA-3C0F-7378F524B0B9}"/>
            </a:ext>
          </a:extLst>
        </xdr:cNvPr>
        <xdr:cNvSpPr txBox="1"/>
      </xdr:nvSpPr>
      <xdr:spPr>
        <a:xfrm>
          <a:off x="10377170" y="762000"/>
          <a:ext cx="5776595" cy="11430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F.</a:t>
          </a:r>
          <a:r>
            <a:rPr lang="es-ES" sz="1100" b="1" baseline="0"/>
            <a:t>3. </a:t>
          </a:r>
          <a:r>
            <a:rPr lang="es-ES" sz="1100" b="1"/>
            <a:t>TABLA OTROS COSTES </a:t>
          </a:r>
        </a:p>
        <a:p>
          <a:endParaRPr lang="es-ES" sz="1100" b="1"/>
        </a:p>
        <a:p>
          <a:r>
            <a:rPr lang="es-ES" sz="1100" b="0"/>
            <a:t>* Se incluyen</a:t>
          </a:r>
          <a:r>
            <a:rPr lang="es-ES" sz="1100" b="0" baseline="0"/>
            <a:t> todos los costes que se exijan en el pliego relativo a este capítulo</a:t>
          </a:r>
          <a:endParaRPr lang="es-ES" sz="1100" b="0"/>
        </a:p>
        <a:p>
          <a:endParaRPr lang="es-ES"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75</xdr:col>
      <xdr:colOff>390525</xdr:colOff>
      <xdr:row>2</xdr:row>
      <xdr:rowOff>123825</xdr:rowOff>
    </xdr:from>
    <xdr:to>
      <xdr:col>82</xdr:col>
      <xdr:colOff>28575</xdr:colOff>
      <xdr:row>10</xdr:row>
      <xdr:rowOff>95250</xdr:rowOff>
    </xdr:to>
    <xdr:sp macro="" textlink="">
      <xdr:nvSpPr>
        <xdr:cNvPr id="3" name="CuadroTexto 2">
          <a:extLst>
            <a:ext uri="{FF2B5EF4-FFF2-40B4-BE49-F238E27FC236}">
              <a16:creationId xmlns:a16="http://schemas.microsoft.com/office/drawing/2014/main" id="{F65D78A5-CCC5-C32A-561C-2194A8512260}"/>
            </a:ext>
          </a:extLst>
        </xdr:cNvPr>
        <xdr:cNvSpPr txBox="1"/>
      </xdr:nvSpPr>
      <xdr:spPr>
        <a:xfrm>
          <a:off x="8509635" y="361950"/>
          <a:ext cx="4976495" cy="14954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TABLA RESUMEN  - PRESUPUESTO BASE DE LICITACIÓN</a:t>
          </a:r>
        </a:p>
        <a:p>
          <a:endParaRPr lang="es-ES" sz="1100" b="1"/>
        </a:p>
        <a:p>
          <a:r>
            <a:rPr lang="es-ES" sz="1100"/>
            <a:t>* Todos los datos salen de vínculos</a:t>
          </a:r>
          <a:r>
            <a:rPr lang="es-ES" sz="1100" baseline="0"/>
            <a:t> con otras páginas. </a:t>
          </a:r>
        </a:p>
        <a:p>
          <a:r>
            <a:rPr lang="es-ES" sz="1100" baseline="0"/>
            <a:t>* Se deben ajustar los coeficientes de ajuste de los años 5 y 6 respectivamente (en </a:t>
          </a:r>
          <a:r>
            <a:rPr lang="es-ES" sz="1100" baseline="0">
              <a:solidFill>
                <a:schemeClr val="accent5">
                  <a:lumMod val="50000"/>
                </a:schemeClr>
              </a:solidFill>
            </a:rPr>
            <a:t>azul)</a:t>
          </a:r>
        </a:p>
        <a:p>
          <a:endParaRPr lang="es-E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767714</xdr:colOff>
      <xdr:row>2</xdr:row>
      <xdr:rowOff>68580</xdr:rowOff>
    </xdr:from>
    <xdr:to>
      <xdr:col>44</xdr:col>
      <xdr:colOff>106680</xdr:colOff>
      <xdr:row>10</xdr:row>
      <xdr:rowOff>40005</xdr:rowOff>
    </xdr:to>
    <xdr:sp macro="" textlink="">
      <xdr:nvSpPr>
        <xdr:cNvPr id="2" name="CuadroTexto 1">
          <a:extLst>
            <a:ext uri="{FF2B5EF4-FFF2-40B4-BE49-F238E27FC236}">
              <a16:creationId xmlns:a16="http://schemas.microsoft.com/office/drawing/2014/main" id="{7973A129-C938-043B-C6BA-091DF12FCC05}"/>
            </a:ext>
          </a:extLst>
        </xdr:cNvPr>
        <xdr:cNvSpPr txBox="1"/>
      </xdr:nvSpPr>
      <xdr:spPr>
        <a:xfrm>
          <a:off x="7770494" y="304800"/>
          <a:ext cx="6250306" cy="14954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TABLA CANON ANUAL</a:t>
          </a:r>
        </a:p>
        <a:p>
          <a:endParaRPr lang="es-ES" sz="1100" b="1"/>
        </a:p>
        <a:p>
          <a:pPr marL="0" marR="0" lvl="0" indent="0" defTabSz="914400" eaLnBrk="1" fontAlgn="auto" latinLnBrk="0" hangingPunct="1">
            <a:lnSpc>
              <a:spcPct val="100000"/>
            </a:lnSpc>
            <a:spcBef>
              <a:spcPts val="0"/>
            </a:spcBef>
            <a:spcAft>
              <a:spcPts val="0"/>
            </a:spcAft>
            <a:buClrTx/>
            <a:buSzTx/>
            <a:buFontTx/>
            <a:buNone/>
            <a:defRPr/>
          </a:pPr>
          <a:r>
            <a:rPr lang="es-ES" sz="1100" b="1"/>
            <a:t>* </a:t>
          </a:r>
          <a:r>
            <a:rPr lang="es-ES" sz="1100" baseline="0">
              <a:solidFill>
                <a:schemeClr val="dk1"/>
              </a:solidFill>
              <a:effectLst/>
              <a:latin typeface="+mn-lt"/>
              <a:ea typeface="+mn-ea"/>
              <a:cs typeface="+mn-cs"/>
            </a:rPr>
            <a:t>En verde los datos que se pueden ajustar según las necesidades del servicio</a:t>
          </a:r>
          <a:endParaRPr lang="es-ES" sz="1100" b="1"/>
        </a:p>
        <a:p>
          <a:r>
            <a:rPr lang="es-ES" sz="1100"/>
            <a:t>* Los</a:t>
          </a:r>
          <a:r>
            <a:rPr lang="es-ES" sz="1100" baseline="0"/>
            <a:t> costes de ejecución material se obtienen de vínculos con otras pestañas ( A, B, C, D, E y F)</a:t>
          </a:r>
        </a:p>
        <a:p>
          <a:r>
            <a:rPr lang="es-ES" sz="1100" baseline="0"/>
            <a:t>* Se pueden cambiar los porcentajes:</a:t>
          </a:r>
        </a:p>
        <a:p>
          <a:r>
            <a:rPr lang="es-ES" sz="1100" baseline="0"/>
            <a:t>         * Gastos generales y beneficio industrial (pueden variar entre </a:t>
          </a:r>
          <a:r>
            <a:rPr lang="es-ES" sz="1100" baseline="0">
              <a:solidFill>
                <a:srgbClr val="C00000"/>
              </a:solidFill>
            </a:rPr>
            <a:t>X</a:t>
          </a:r>
          <a:r>
            <a:rPr lang="es-ES" sz="1100" baseline="0"/>
            <a:t> y </a:t>
          </a:r>
          <a:r>
            <a:rPr lang="es-ES" sz="1100" baseline="0">
              <a:solidFill>
                <a:srgbClr val="C00000"/>
              </a:solidFill>
            </a:rPr>
            <a:t>Z</a:t>
          </a:r>
          <a:r>
            <a:rPr lang="es-ES" sz="1100" baseline="0"/>
            <a:t>)</a:t>
          </a:r>
        </a:p>
        <a:p>
          <a:r>
            <a:rPr lang="es-ES" sz="1100" baseline="0"/>
            <a:t>         * Canon anual de conservación y limpieza (al modificar el porcentaje del canon de conservación</a:t>
          </a:r>
          <a:br>
            <a:rPr lang="es-ES" sz="1100" baseline="0"/>
          </a:br>
          <a:r>
            <a:rPr lang="es-ES" sz="1100" baseline="0"/>
            <a:t>             se calcula automaticamente el canon de limpieza.</a:t>
          </a:r>
          <a:endParaRPr lang="es-E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476250</xdr:colOff>
      <xdr:row>3</xdr:row>
      <xdr:rowOff>47625</xdr:rowOff>
    </xdr:from>
    <xdr:to>
      <xdr:col>36</xdr:col>
      <xdr:colOff>114300</xdr:colOff>
      <xdr:row>16</xdr:row>
      <xdr:rowOff>19050</xdr:rowOff>
    </xdr:to>
    <xdr:sp macro="" textlink="">
      <xdr:nvSpPr>
        <xdr:cNvPr id="2" name="CuadroTexto 1">
          <a:extLst>
            <a:ext uri="{FF2B5EF4-FFF2-40B4-BE49-F238E27FC236}">
              <a16:creationId xmlns:a16="http://schemas.microsoft.com/office/drawing/2014/main" id="{64BBE4A2-CA6D-B0BF-01E3-1DD370108E4D}"/>
            </a:ext>
          </a:extLst>
        </xdr:cNvPr>
        <xdr:cNvSpPr txBox="1"/>
      </xdr:nvSpPr>
      <xdr:spPr>
        <a:xfrm>
          <a:off x="8655050" y="666750"/>
          <a:ext cx="4976495" cy="225742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es-ES" sz="1100" b="1"/>
            <a:t>TABLA TRABAJOS</a:t>
          </a:r>
          <a:r>
            <a:rPr lang="es-ES" sz="1100" b="1" baseline="0"/>
            <a:t> POR MEDICIÓN / SUMINISTRO</a:t>
          </a:r>
        </a:p>
        <a:p>
          <a:pPr>
            <a:lnSpc>
              <a:spcPts val="1200"/>
            </a:lnSpc>
          </a:pPr>
          <a:endParaRPr lang="es-ES" sz="1100" b="1" baseline="0"/>
        </a:p>
        <a:p>
          <a:pPr>
            <a:lnSpc>
              <a:spcPts val="1200"/>
            </a:lnSpc>
          </a:pPr>
          <a:r>
            <a:rPr lang="es-ES" sz="1100" b="0" baseline="0"/>
            <a:t>* Se han determinado aquellas mediciones estimadas para los distintos ámbitos del servicio.</a:t>
          </a:r>
        </a:p>
        <a:p>
          <a:r>
            <a:rPr lang="es-ES" sz="1100" b="0" baseline="0"/>
            <a:t>* Deben adecuarse al alcance del contrato</a:t>
          </a:r>
        </a:p>
        <a:p>
          <a:r>
            <a:rPr lang="es-ES" sz="1100" b="0" baseline="0"/>
            <a:t>* Pueden ajustarse los conceptos de gastos generales y beneficio industrial</a:t>
          </a:r>
        </a:p>
        <a:p>
          <a:pPr>
            <a:lnSpc>
              <a:spcPts val="1100"/>
            </a:lnSpc>
          </a:pPr>
          <a:endParaRPr lang="es-E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19049</xdr:colOff>
      <xdr:row>2</xdr:row>
      <xdr:rowOff>9525</xdr:rowOff>
    </xdr:from>
    <xdr:to>
      <xdr:col>24</xdr:col>
      <xdr:colOff>762001</xdr:colOff>
      <xdr:row>15</xdr:row>
      <xdr:rowOff>180975</xdr:rowOff>
    </xdr:to>
    <xdr:sp macro="" textlink="">
      <xdr:nvSpPr>
        <xdr:cNvPr id="2" name="CuadroTexto 1">
          <a:extLst>
            <a:ext uri="{FF2B5EF4-FFF2-40B4-BE49-F238E27FC236}">
              <a16:creationId xmlns:a16="http://schemas.microsoft.com/office/drawing/2014/main" id="{316441CC-CE90-E918-B83B-B3255E043054}"/>
            </a:ext>
          </a:extLst>
        </xdr:cNvPr>
        <xdr:cNvSpPr txBox="1"/>
      </xdr:nvSpPr>
      <xdr:spPr>
        <a:xfrm>
          <a:off x="9513569" y="245745"/>
          <a:ext cx="4339592" cy="29527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a:t>
          </a:r>
          <a:r>
            <a:rPr lang="es-ES" sz="1100" b="1" baseline="0"/>
            <a:t> </a:t>
          </a:r>
          <a:r>
            <a:rPr lang="es-ES" sz="1100" b="1"/>
            <a:t>TABLA RESUMEN COSTES DE PERSONAL</a:t>
          </a:r>
        </a:p>
        <a:p>
          <a:endParaRPr lang="es-ES" sz="1100"/>
        </a:p>
        <a:p>
          <a:r>
            <a:rPr lang="es-ES" sz="1100"/>
            <a:t>*</a:t>
          </a:r>
          <a:r>
            <a:rPr lang="es-ES" sz="1100" baseline="0"/>
            <a:t> En </a:t>
          </a:r>
          <a:r>
            <a:rPr lang="es-ES" sz="1100" baseline="0">
              <a:solidFill>
                <a:schemeClr val="accent5">
                  <a:lumMod val="50000"/>
                </a:schemeClr>
              </a:solidFill>
            </a:rPr>
            <a:t>azul</a:t>
          </a:r>
          <a:r>
            <a:rPr lang="es-ES" sz="1100" baseline="0"/>
            <a:t> los datos que se pueden ajustar según las necesidades del servicio</a:t>
          </a:r>
          <a:endParaRPr lang="es-ES" sz="1100"/>
        </a:p>
        <a:p>
          <a:r>
            <a:rPr lang="es-ES" sz="1100"/>
            <a:t>*</a:t>
          </a:r>
          <a:r>
            <a:rPr lang="es-ES" sz="1100" baseline="0"/>
            <a:t> Los </a:t>
          </a:r>
          <a:r>
            <a:rPr lang="es-ES" sz="1100" b="1" baseline="0"/>
            <a:t>costes personales </a:t>
          </a:r>
          <a:r>
            <a:rPr lang="es-ES" sz="1100" baseline="0"/>
            <a:t>se obtienen de las tablas de </a:t>
          </a:r>
          <a:r>
            <a:rPr lang="es-ES" sz="1100" u="sng" baseline="0"/>
            <a:t>Costes A.1 y A.2</a:t>
          </a:r>
        </a:p>
        <a:p>
          <a:r>
            <a:rPr lang="es-ES" sz="1100" baseline="0"/>
            <a:t>* Los </a:t>
          </a:r>
          <a:r>
            <a:rPr lang="es-ES" sz="1100" b="1" baseline="0"/>
            <a:t>porcentajes de sustitución y absentismo </a:t>
          </a:r>
          <a:r>
            <a:rPr lang="es-ES" sz="1100" baseline="0"/>
            <a:t>se pueden ajustar, pero se recomienda que estén entre los siguientes porcentajes:</a:t>
          </a:r>
        </a:p>
        <a:p>
          <a:r>
            <a:rPr lang="es-ES" sz="1100" baseline="0"/>
            <a:t>         * Sustitución por vacaciones: </a:t>
          </a:r>
          <a:r>
            <a:rPr lang="es-ES" sz="1100" baseline="0">
              <a:solidFill>
                <a:srgbClr val="FF0000"/>
              </a:solidFill>
            </a:rPr>
            <a:t>8-9 %</a:t>
          </a:r>
        </a:p>
        <a:p>
          <a:r>
            <a:rPr lang="es-ES" sz="1100" baseline="0"/>
            <a:t>         * Sustitución por horas de formación: </a:t>
          </a:r>
          <a:r>
            <a:rPr lang="es-ES" sz="1100" baseline="0">
              <a:solidFill>
                <a:srgbClr val="FF0000"/>
              </a:solidFill>
              <a:effectLst/>
              <a:latin typeface="+mn-lt"/>
              <a:ea typeface="+mn-ea"/>
              <a:cs typeface="+mn-cs"/>
            </a:rPr>
            <a:t>2-5 %</a:t>
          </a:r>
          <a:endParaRPr lang="es-ES" sz="1100" baseline="0">
            <a:solidFill>
              <a:srgbClr val="FF0000"/>
            </a:solidFill>
          </a:endParaRPr>
        </a:p>
        <a:p>
          <a:r>
            <a:rPr lang="es-ES" sz="1100" baseline="0"/>
            <a:t>         * Absentismo y bajas: </a:t>
          </a:r>
          <a:r>
            <a:rPr lang="es-ES" sz="1100" baseline="0">
              <a:solidFill>
                <a:srgbClr val="FF0000"/>
              </a:solidFill>
              <a:effectLst/>
              <a:latin typeface="+mn-lt"/>
              <a:ea typeface="+mn-ea"/>
              <a:cs typeface="+mn-cs"/>
            </a:rPr>
            <a:t>6-10 %</a:t>
          </a:r>
        </a:p>
        <a:p>
          <a:r>
            <a:rPr lang="es-ES" sz="1100">
              <a:solidFill>
                <a:sysClr val="windowText" lastClr="000000"/>
              </a:solidFill>
            </a:rPr>
            <a:t>	</a:t>
          </a:r>
          <a:r>
            <a:rPr lang="es-ES" sz="1100" baseline="0">
              <a:solidFill>
                <a:schemeClr val="tx1">
                  <a:lumMod val="65000"/>
                  <a:lumOff val="35000"/>
                </a:schemeClr>
              </a:solidFill>
            </a:rPr>
            <a:t> </a:t>
          </a:r>
          <a:endParaRPr lang="es-ES" sz="1100">
            <a:solidFill>
              <a:schemeClr val="tx1">
                <a:lumMod val="65000"/>
                <a:lumOff val="35000"/>
              </a:schemeClr>
            </a:solidFill>
          </a:endParaRPr>
        </a:p>
        <a:p>
          <a:r>
            <a:rPr lang="es-ES" sz="1100" baseline="0">
              <a:solidFill>
                <a:sysClr val="windowText" lastClr="000000"/>
              </a:solidFill>
            </a:rPr>
            <a:t>* Los </a:t>
          </a:r>
          <a:r>
            <a:rPr lang="es-ES" sz="1100" b="1" baseline="0">
              <a:solidFill>
                <a:sysClr val="windowText" lastClr="000000"/>
              </a:solidFill>
            </a:rPr>
            <a:t>costes de peligrosidad </a:t>
          </a:r>
          <a:r>
            <a:rPr lang="es-ES" sz="1100" baseline="0">
              <a:solidFill>
                <a:sysClr val="windowText" lastClr="000000"/>
              </a:solidFill>
            </a:rPr>
            <a:t>deben calcularse en función de la organización del servicio. </a:t>
          </a:r>
        </a:p>
        <a:p>
          <a:r>
            <a:rPr lang="es-ES" sz="1100" baseline="0">
              <a:solidFill>
                <a:sysClr val="windowText" lastClr="000000"/>
              </a:solidFill>
            </a:rPr>
            <a:t>         * Con caracter general las gratificaciones por permanencia según convenio ya están calculadas en los costes de personal, este campo corresponde a gratificaciones extra.</a:t>
          </a:r>
        </a:p>
        <a:p>
          <a:endParaRPr lang="es-ES" sz="1100">
            <a:solidFill>
              <a:sysClr val="windowText" lastClr="000000"/>
            </a:solidFill>
          </a:endParaRPr>
        </a:p>
      </xdr:txBody>
    </xdr:sp>
    <xdr:clientData/>
  </xdr:twoCellAnchor>
  <xdr:twoCellAnchor>
    <xdr:from>
      <xdr:col>18</xdr:col>
      <xdr:colOff>28576</xdr:colOff>
      <xdr:row>17</xdr:row>
      <xdr:rowOff>66675</xdr:rowOff>
    </xdr:from>
    <xdr:to>
      <xdr:col>25</xdr:col>
      <xdr:colOff>15240</xdr:colOff>
      <xdr:row>24</xdr:row>
      <xdr:rowOff>45720</xdr:rowOff>
    </xdr:to>
    <xdr:sp macro="" textlink="">
      <xdr:nvSpPr>
        <xdr:cNvPr id="3" name="CuadroTexto 2">
          <a:extLst>
            <a:ext uri="{FF2B5EF4-FFF2-40B4-BE49-F238E27FC236}">
              <a16:creationId xmlns:a16="http://schemas.microsoft.com/office/drawing/2014/main" id="{0677650B-6692-9A8B-09A9-3F3AAB497B53}"/>
            </a:ext>
          </a:extLst>
        </xdr:cNvPr>
        <xdr:cNvSpPr txBox="1"/>
      </xdr:nvSpPr>
      <xdr:spPr>
        <a:xfrm>
          <a:off x="9523096" y="3465195"/>
          <a:ext cx="4368164" cy="131254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es-ES" sz="1100">
              <a:solidFill>
                <a:schemeClr val="dk1"/>
              </a:solidFill>
              <a:effectLst/>
              <a:latin typeface="+mn-lt"/>
              <a:ea typeface="+mn-ea"/>
              <a:cs typeface="+mn-cs"/>
            </a:rPr>
            <a:t>* Es </a:t>
          </a:r>
          <a:r>
            <a:rPr lang="es-ES" sz="1100" b="1">
              <a:solidFill>
                <a:schemeClr val="dk1"/>
              </a:solidFill>
              <a:effectLst/>
              <a:latin typeface="+mn-lt"/>
              <a:ea typeface="+mn-ea"/>
              <a:cs typeface="+mn-cs"/>
            </a:rPr>
            <a:t>imprescindible</a:t>
          </a:r>
          <a:r>
            <a:rPr lang="es-ES" sz="1100" b="1" baseline="0">
              <a:solidFill>
                <a:schemeClr val="dk1"/>
              </a:solidFill>
              <a:effectLst/>
              <a:latin typeface="+mn-lt"/>
              <a:ea typeface="+mn-ea"/>
              <a:cs typeface="+mn-cs"/>
            </a:rPr>
            <a:t> actulizar los años de inicio y final </a:t>
          </a:r>
          <a:r>
            <a:rPr lang="es-ES" sz="1100" baseline="0">
              <a:solidFill>
                <a:schemeClr val="dk1"/>
              </a:solidFill>
              <a:effectLst/>
              <a:latin typeface="+mn-lt"/>
              <a:ea typeface="+mn-ea"/>
              <a:cs typeface="+mn-cs"/>
            </a:rPr>
            <a:t>de contrato para poder calcular adecuadamente la antigüedad del personal del servicio.</a:t>
          </a:r>
        </a:p>
        <a:p>
          <a:pPr marL="0" marR="0" lvl="0" indent="0" defTabSz="914400" eaLnBrk="1" fontAlgn="auto" latinLnBrk="0" hangingPunct="1">
            <a:lnSpc>
              <a:spcPct val="100000"/>
            </a:lnSpc>
            <a:spcBef>
              <a:spcPts val="0"/>
            </a:spcBef>
            <a:spcAft>
              <a:spcPts val="0"/>
            </a:spcAft>
            <a:buClrTx/>
            <a:buSzTx/>
            <a:buFontTx/>
            <a:buNone/>
            <a:defRPr/>
          </a:pPr>
          <a:endParaRPr lang="es-E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s-ES" sz="1100" baseline="0">
              <a:solidFill>
                <a:schemeClr val="dk1"/>
              </a:solidFill>
              <a:effectLst/>
              <a:latin typeface="+mn-lt"/>
              <a:ea typeface="+mn-ea"/>
              <a:cs typeface="+mn-cs"/>
            </a:rPr>
            <a:t>En este caso particular de los servicios con inversión, sólo es necesario calcular los costes del "año 1" ya que todoel estudio se realiza respecto al primer año, gracias a la actualización de precios. </a:t>
          </a:r>
          <a:endParaRPr lang="es-ES">
            <a:effectLst/>
          </a:endParaRPr>
        </a:p>
        <a:p>
          <a:endParaRPr lang="es-E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0</xdr:colOff>
      <xdr:row>34</xdr:row>
      <xdr:rowOff>0</xdr:rowOff>
    </xdr:from>
    <xdr:to>
      <xdr:col>26</xdr:col>
      <xdr:colOff>438151</xdr:colOff>
      <xdr:row>49</xdr:row>
      <xdr:rowOff>145596</xdr:rowOff>
    </xdr:to>
    <xdr:sp macro="" textlink="">
      <xdr:nvSpPr>
        <xdr:cNvPr id="2" name="CuadroTexto 1">
          <a:extLst>
            <a:ext uri="{FF2B5EF4-FFF2-40B4-BE49-F238E27FC236}">
              <a16:creationId xmlns:a16="http://schemas.microsoft.com/office/drawing/2014/main" id="{660FD451-FBEF-FFD9-684E-D06D0D1EFF4C}"/>
            </a:ext>
          </a:extLst>
        </xdr:cNvPr>
        <xdr:cNvSpPr txBox="1"/>
      </xdr:nvSpPr>
      <xdr:spPr>
        <a:xfrm>
          <a:off x="16374745" y="6172200"/>
          <a:ext cx="5776595" cy="295529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A.0</a:t>
          </a:r>
          <a:r>
            <a:rPr lang="es-ES" sz="1100" b="1" baseline="0"/>
            <a:t> TABLAS SALARIALES SEGÚN CONVENIO</a:t>
          </a:r>
          <a:endParaRPr lang="es-ES" sz="1100" b="1"/>
        </a:p>
        <a:p>
          <a:endParaRPr lang="es-ES" sz="1100"/>
        </a:p>
        <a:p>
          <a:r>
            <a:rPr lang="es-ES" sz="1100"/>
            <a:t>*</a:t>
          </a:r>
          <a:r>
            <a:rPr lang="es-ES" sz="1100" baseline="0"/>
            <a:t> En esta pestaña se recogen los datos publicados en las tablas salariables según la última actualización del </a:t>
          </a:r>
          <a:r>
            <a:rPr lang="es-ES" sz="1100" b="1" baseline="0"/>
            <a:t>Convenio Colectivo estatal de Jardinería 2021-2024</a:t>
          </a:r>
        </a:p>
        <a:p>
          <a:r>
            <a:rPr lang="es-ES" sz="1100">
              <a:solidFill>
                <a:sysClr val="windowText" lastClr="000000"/>
              </a:solidFill>
            </a:rPr>
            <a:t>* Para actualizar el coste de</a:t>
          </a:r>
          <a:r>
            <a:rPr lang="es-ES" sz="1100" baseline="0">
              <a:solidFill>
                <a:sysClr val="windowText" lastClr="000000"/>
              </a:solidFill>
            </a:rPr>
            <a:t> personal en un contrato de servicios con inversión, debe copiarse en la tabla superior (T7-AA7) el importe correspondiente al año del inicio del nuevo servicio según convenio. </a:t>
          </a:r>
        </a:p>
        <a:p>
          <a:r>
            <a:rPr lang="es-ES" sz="1100" baseline="0">
              <a:solidFill>
                <a:sysClr val="windowText" lastClr="000000"/>
              </a:solidFill>
            </a:rPr>
            <a:t>* Si se están haciendo los cálculos para un servicio de 5 años máximo, en la tabla superior debe ponerse en cada casilla la media de las subidas de salario de los años que dure el servicio. </a:t>
          </a:r>
          <a:endParaRPr lang="es-E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27</xdr:col>
      <xdr:colOff>285750</xdr:colOff>
      <xdr:row>7</xdr:row>
      <xdr:rowOff>0</xdr:rowOff>
    </xdr:from>
    <xdr:to>
      <xdr:col>34</xdr:col>
      <xdr:colOff>723901</xdr:colOff>
      <xdr:row>22</xdr:row>
      <xdr:rowOff>104775</xdr:rowOff>
    </xdr:to>
    <xdr:sp macro="" textlink="">
      <xdr:nvSpPr>
        <xdr:cNvPr id="2" name="CuadroTexto 1">
          <a:extLst>
            <a:ext uri="{FF2B5EF4-FFF2-40B4-BE49-F238E27FC236}">
              <a16:creationId xmlns:a16="http://schemas.microsoft.com/office/drawing/2014/main" id="{A70B25B1-AC78-E2D1-392F-6A915C8C60BE}"/>
            </a:ext>
          </a:extLst>
        </xdr:cNvPr>
        <xdr:cNvSpPr txBox="1"/>
      </xdr:nvSpPr>
      <xdr:spPr>
        <a:xfrm>
          <a:off x="17630140" y="23145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twoCellAnchor>
    <xdr:from>
      <xdr:col>27</xdr:col>
      <xdr:colOff>285750</xdr:colOff>
      <xdr:row>25</xdr:row>
      <xdr:rowOff>0</xdr:rowOff>
    </xdr:from>
    <xdr:to>
      <xdr:col>34</xdr:col>
      <xdr:colOff>723901</xdr:colOff>
      <xdr:row>40</xdr:row>
      <xdr:rowOff>104775</xdr:rowOff>
    </xdr:to>
    <xdr:sp macro="" textlink="">
      <xdr:nvSpPr>
        <xdr:cNvPr id="3" name="CuadroTexto 2">
          <a:extLst>
            <a:ext uri="{FF2B5EF4-FFF2-40B4-BE49-F238E27FC236}">
              <a16:creationId xmlns:a16="http://schemas.microsoft.com/office/drawing/2014/main" id="{57F5DA09-38E1-4D56-041D-E3D3CF6517E5}"/>
            </a:ext>
          </a:extLst>
        </xdr:cNvPr>
        <xdr:cNvSpPr txBox="1"/>
      </xdr:nvSpPr>
      <xdr:spPr>
        <a:xfrm>
          <a:off x="17630140" y="57435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twoCellAnchor>
    <xdr:from>
      <xdr:col>27</xdr:col>
      <xdr:colOff>285750</xdr:colOff>
      <xdr:row>43</xdr:row>
      <xdr:rowOff>0</xdr:rowOff>
    </xdr:from>
    <xdr:to>
      <xdr:col>34</xdr:col>
      <xdr:colOff>723901</xdr:colOff>
      <xdr:row>58</xdr:row>
      <xdr:rowOff>104775</xdr:rowOff>
    </xdr:to>
    <xdr:sp macro="" textlink="">
      <xdr:nvSpPr>
        <xdr:cNvPr id="6" name="CuadroTexto 5">
          <a:extLst>
            <a:ext uri="{FF2B5EF4-FFF2-40B4-BE49-F238E27FC236}">
              <a16:creationId xmlns:a16="http://schemas.microsoft.com/office/drawing/2014/main" id="{B633DA2C-3E49-B36A-9A66-4DE61809157A}"/>
            </a:ext>
          </a:extLst>
        </xdr:cNvPr>
        <xdr:cNvSpPr txBox="1"/>
      </xdr:nvSpPr>
      <xdr:spPr>
        <a:xfrm>
          <a:off x="17630140" y="91725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twoCellAnchor>
    <xdr:from>
      <xdr:col>27</xdr:col>
      <xdr:colOff>285750</xdr:colOff>
      <xdr:row>61</xdr:row>
      <xdr:rowOff>0</xdr:rowOff>
    </xdr:from>
    <xdr:to>
      <xdr:col>34</xdr:col>
      <xdr:colOff>723901</xdr:colOff>
      <xdr:row>64</xdr:row>
      <xdr:rowOff>0</xdr:rowOff>
    </xdr:to>
    <xdr:sp macro="" textlink="">
      <xdr:nvSpPr>
        <xdr:cNvPr id="7" name="CuadroTexto 6">
          <a:extLst>
            <a:ext uri="{FF2B5EF4-FFF2-40B4-BE49-F238E27FC236}">
              <a16:creationId xmlns:a16="http://schemas.microsoft.com/office/drawing/2014/main" id="{5A2725FC-8F65-5E6A-1AF7-DE8BEE5194B8}"/>
            </a:ext>
          </a:extLst>
        </xdr:cNvPr>
        <xdr:cNvSpPr txBox="1"/>
      </xdr:nvSpPr>
      <xdr:spPr>
        <a:xfrm>
          <a:off x="17630140" y="12601575"/>
          <a:ext cx="5776595" cy="5715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a:t>
          </a:r>
          <a:r>
            <a:rPr lang="es-ES" sz="1100" b="1" baseline="0"/>
            <a:t> TABLA COSTES DE SUBROGACIÓN</a:t>
          </a:r>
          <a:endParaRPr lang="es-ES" sz="1100" b="1"/>
        </a:p>
        <a:p>
          <a:endParaRPr lang="es-ES" sz="1100"/>
        </a:p>
        <a:p>
          <a:r>
            <a:rPr lang="es-ES" sz="1100">
              <a:solidFill>
                <a:sysClr val="windowText" lastClr="000000"/>
              </a:solidFill>
            </a:rPr>
            <a:t>* Se debe actulizar a la</a:t>
          </a:r>
          <a:r>
            <a:rPr lang="es-ES" sz="1100" baseline="0">
              <a:solidFill>
                <a:sysClr val="windowText" lastClr="000000"/>
              </a:solidFill>
            </a:rPr>
            <a:t> situación de cada servicio, según las tablas de subrogación</a:t>
          </a:r>
        </a:p>
        <a:p>
          <a:r>
            <a:rPr lang="es-ES" sz="1100" baseline="0">
              <a:solidFill>
                <a:sysClr val="windowText" lastClr="000000"/>
              </a:solidFill>
            </a:rPr>
            <a:t>* Se recomineda insertarfilas por categorías para facilitar cálculos y minimizar errores. TOdas las filas que se añadan en esta pestaña deben añadirse en la tabla A.1.0 Tabla Antigüedad_Sub</a:t>
          </a:r>
        </a:p>
        <a:p>
          <a:endParaRPr lang="es-ES" sz="1100" baseline="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0</xdr:colOff>
      <xdr:row>8</xdr:row>
      <xdr:rowOff>0</xdr:rowOff>
    </xdr:from>
    <xdr:to>
      <xdr:col>30</xdr:col>
      <xdr:colOff>438151</xdr:colOff>
      <xdr:row>23</xdr:row>
      <xdr:rowOff>104775</xdr:rowOff>
    </xdr:to>
    <xdr:sp macro="" textlink="">
      <xdr:nvSpPr>
        <xdr:cNvPr id="2" name="CuadroTexto 1">
          <a:extLst>
            <a:ext uri="{FF2B5EF4-FFF2-40B4-BE49-F238E27FC236}">
              <a16:creationId xmlns:a16="http://schemas.microsoft.com/office/drawing/2014/main" id="{108F5DF7-1C86-B1E4-80F5-2E9B6C808FFE}"/>
            </a:ext>
          </a:extLst>
        </xdr:cNvPr>
        <xdr:cNvSpPr txBox="1"/>
      </xdr:nvSpPr>
      <xdr:spPr>
        <a:xfrm>
          <a:off x="17564735" y="25050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twoCellAnchor>
    <xdr:from>
      <xdr:col>23</xdr:col>
      <xdr:colOff>0</xdr:colOff>
      <xdr:row>26</xdr:row>
      <xdr:rowOff>0</xdr:rowOff>
    </xdr:from>
    <xdr:to>
      <xdr:col>30</xdr:col>
      <xdr:colOff>438151</xdr:colOff>
      <xdr:row>41</xdr:row>
      <xdr:rowOff>104775</xdr:rowOff>
    </xdr:to>
    <xdr:sp macro="" textlink="">
      <xdr:nvSpPr>
        <xdr:cNvPr id="3" name="CuadroTexto 2">
          <a:extLst>
            <a:ext uri="{FF2B5EF4-FFF2-40B4-BE49-F238E27FC236}">
              <a16:creationId xmlns:a16="http://schemas.microsoft.com/office/drawing/2014/main" id="{734EC3E6-B47D-B631-4F21-E9A19FF5FE75}"/>
            </a:ext>
          </a:extLst>
        </xdr:cNvPr>
        <xdr:cNvSpPr txBox="1"/>
      </xdr:nvSpPr>
      <xdr:spPr>
        <a:xfrm>
          <a:off x="17564735" y="59340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twoCellAnchor>
    <xdr:from>
      <xdr:col>23</xdr:col>
      <xdr:colOff>0</xdr:colOff>
      <xdr:row>44</xdr:row>
      <xdr:rowOff>0</xdr:rowOff>
    </xdr:from>
    <xdr:to>
      <xdr:col>30</xdr:col>
      <xdr:colOff>438151</xdr:colOff>
      <xdr:row>59</xdr:row>
      <xdr:rowOff>104775</xdr:rowOff>
    </xdr:to>
    <xdr:sp macro="" textlink="">
      <xdr:nvSpPr>
        <xdr:cNvPr id="4" name="CuadroTexto 3">
          <a:extLst>
            <a:ext uri="{FF2B5EF4-FFF2-40B4-BE49-F238E27FC236}">
              <a16:creationId xmlns:a16="http://schemas.microsoft.com/office/drawing/2014/main" id="{E36BB8EA-C6A4-00E7-7434-C207ED16944F}"/>
            </a:ext>
          </a:extLst>
        </xdr:cNvPr>
        <xdr:cNvSpPr txBox="1"/>
      </xdr:nvSpPr>
      <xdr:spPr>
        <a:xfrm>
          <a:off x="17564735" y="9363075"/>
          <a:ext cx="5776595" cy="29622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twoCellAnchor>
    <xdr:from>
      <xdr:col>23</xdr:col>
      <xdr:colOff>0</xdr:colOff>
      <xdr:row>63</xdr:row>
      <xdr:rowOff>0</xdr:rowOff>
    </xdr:from>
    <xdr:to>
      <xdr:col>30</xdr:col>
      <xdr:colOff>438151</xdr:colOff>
      <xdr:row>64</xdr:row>
      <xdr:rowOff>0</xdr:rowOff>
    </xdr:to>
    <xdr:sp macro="" textlink="">
      <xdr:nvSpPr>
        <xdr:cNvPr id="5" name="CuadroTexto 4">
          <a:extLst>
            <a:ext uri="{FF2B5EF4-FFF2-40B4-BE49-F238E27FC236}">
              <a16:creationId xmlns:a16="http://schemas.microsoft.com/office/drawing/2014/main" id="{DF56E897-6EF1-7B7E-63F1-67A8932BA63D}"/>
            </a:ext>
          </a:extLst>
        </xdr:cNvPr>
        <xdr:cNvSpPr txBox="1"/>
      </xdr:nvSpPr>
      <xdr:spPr>
        <a:xfrm>
          <a:off x="17564735" y="12982575"/>
          <a:ext cx="5776595" cy="19050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A.1.0</a:t>
          </a:r>
          <a:r>
            <a:rPr lang="es-ES" sz="1100" b="1" baseline="0"/>
            <a:t> TABLA CÁLCULO COSTES ANTIGÜEDAD</a:t>
          </a:r>
        </a:p>
        <a:p>
          <a:endParaRPr lang="es-ES" sz="1100" b="1" baseline="0"/>
        </a:p>
        <a:p>
          <a:r>
            <a:rPr lang="es-ES" sz="1100" b="1" baseline="0"/>
            <a:t>* </a:t>
          </a:r>
          <a:r>
            <a:rPr lang="es-ES" sz="1100" b="0" baseline="0"/>
            <a:t>Debe  mantener la misma estructura que la tabla  A.1. para qe se mantengan lso cálculos</a:t>
          </a:r>
          <a:endParaRPr lang="es-ES" sz="1100" b="0"/>
        </a:p>
        <a:p>
          <a:endParaRPr lang="es-ES" sz="1100"/>
        </a:p>
        <a:p>
          <a:endParaRPr lang="es-E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ncursos/SERVICIOS/2008/A%20CONCURSO/01%20CAM%20Pq%20POLVORANCA/ESTUDIO%20INICIAL/ESTUDIO%20PRUEB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ncursos/SERVICIOS/2008/EN%20ESTUDIO/01%20Ayto%20MADRID%20Recogida%20Casa%20de%20Campo/ESTUDIO%20INICIAL/Varios/ESTUDIO%20PRUEB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VENIO"/>
      <sheetName val="TABLAS"/>
      <sheetName val="Hoja3"/>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VENIO"/>
      <sheetName val="TABLAS"/>
      <sheetName val="Hoja3"/>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Personalizado 10">
      <a:dk1>
        <a:sysClr val="windowText" lastClr="000000"/>
      </a:dk1>
      <a:lt1>
        <a:sysClr val="window" lastClr="FFFFFF"/>
      </a:lt1>
      <a:dk2>
        <a:srgbClr val="455F51"/>
      </a:dk2>
      <a:lt2>
        <a:srgbClr val="E2DFCC"/>
      </a:lt2>
      <a:accent1>
        <a:srgbClr val="8FB638"/>
      </a:accent1>
      <a:accent2>
        <a:srgbClr val="63A537"/>
      </a:accent2>
      <a:accent3>
        <a:srgbClr val="37A76F"/>
      </a:accent3>
      <a:accent4>
        <a:srgbClr val="F0B40A"/>
      </a:accent4>
      <a:accent5>
        <a:srgbClr val="6B8829"/>
      </a:accent5>
      <a:accent6>
        <a:srgbClr val="51C3F9"/>
      </a:accent6>
      <a:hlink>
        <a:srgbClr val="EE7B08"/>
      </a:hlink>
      <a:folHlink>
        <a:srgbClr val="977B2D"/>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lexnavarra.navarra.es/detalle.asp?r=38307" TargetMode="External"/><Relationship Id="rId1" Type="http://schemas.openxmlformats.org/officeDocument/2006/relationships/hyperlink" Target="https://www.boe.es/buscar/act.php?id=BOE-A-2004-14600" TargetMode="External"/><Relationship Id="rId4"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bde.es/webbe/es/estadisticas/otras-clasificaciones/publicaciones/sintesis-indicadores/capitulo-1.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8.xml"/><Relationship Id="rId1" Type="http://schemas.openxmlformats.org/officeDocument/2006/relationships/printerSettings" Target="../printerSettings/printerSettings31.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85" zoomScaleNormal="85" zoomScaleSheetLayoutView="85" workbookViewId="0"/>
  </sheetViews>
  <sheetFormatPr baseColWidth="10" defaultColWidth="11" defaultRowHeight="13.2"/>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1454817346722"/>
  </sheetPr>
  <dimension ref="A1:AA133"/>
  <sheetViews>
    <sheetView showGridLines="0" zoomScale="70" zoomScaleNormal="70" workbookViewId="0">
      <pane xSplit="2" ySplit="3" topLeftCell="C4" activePane="bottomRight" state="frozen"/>
      <selection pane="topRight"/>
      <selection pane="bottomLeft"/>
      <selection pane="bottomRight" activeCell="X7" sqref="X7"/>
    </sheetView>
  </sheetViews>
  <sheetFormatPr baseColWidth="10" defaultColWidth="11.44140625" defaultRowHeight="14.4"/>
  <cols>
    <col min="1" max="1" width="4.6640625" style="47" customWidth="1"/>
    <col min="2" max="2" width="22.5546875" style="47" customWidth="1"/>
    <col min="3" max="3" width="4.6640625" style="47" customWidth="1"/>
    <col min="4" max="4" width="5.109375" style="47" customWidth="1"/>
    <col min="5" max="5" width="11.44140625" style="47" customWidth="1"/>
    <col min="6" max="6" width="7" style="47" customWidth="1"/>
    <col min="7" max="7" width="11.44140625" style="47" customWidth="1"/>
    <col min="8" max="8" width="6.109375" style="47" customWidth="1"/>
    <col min="9" max="9" width="10.33203125" style="47" customWidth="1"/>
    <col min="10" max="10" width="10.44140625" style="47" customWidth="1"/>
    <col min="11" max="12" width="10.33203125" style="47" customWidth="1"/>
    <col min="13" max="13" width="8.6640625" style="47" customWidth="1"/>
    <col min="14" max="14" width="9.44140625" style="47" customWidth="1"/>
    <col min="15" max="15" width="8.109375" style="47" customWidth="1"/>
    <col min="16" max="16" width="9.44140625" style="47" customWidth="1"/>
    <col min="17" max="17" width="12.6640625" style="47" customWidth="1"/>
    <col min="18" max="18" width="8.88671875" style="47" customWidth="1"/>
    <col min="19" max="19" width="7.88671875" style="47" customWidth="1"/>
    <col min="20" max="20" width="8.88671875" style="47" customWidth="1"/>
    <col min="21" max="21" width="10.33203125" style="47" customWidth="1"/>
    <col min="22" max="22" width="11.44140625" style="47" customWidth="1"/>
    <col min="23" max="23" width="13.33203125" style="47" customWidth="1"/>
    <col min="24" max="25" width="11.44140625" style="47" customWidth="1"/>
    <col min="26" max="26" width="12.33203125" style="47" customWidth="1"/>
    <col min="27" max="27" width="15.44140625" style="48" customWidth="1"/>
    <col min="28" max="16384" width="11.44140625" style="48"/>
  </cols>
  <sheetData>
    <row r="1" spans="1:27" ht="24" customHeight="1">
      <c r="A1" s="785" t="s">
        <v>202</v>
      </c>
      <c r="B1" s="785"/>
      <c r="C1" s="785"/>
      <c r="D1" s="785"/>
      <c r="E1" s="785"/>
      <c r="F1" s="785"/>
      <c r="G1" s="785"/>
      <c r="H1" s="785"/>
      <c r="I1" s="785"/>
      <c r="J1" s="785"/>
      <c r="K1" s="785"/>
      <c r="L1" s="785"/>
      <c r="M1" s="785"/>
      <c r="N1" s="785"/>
      <c r="O1" s="785"/>
      <c r="P1" s="785"/>
      <c r="Q1" s="785"/>
      <c r="R1" s="785"/>
      <c r="S1" s="785"/>
      <c r="T1" s="785"/>
      <c r="U1" s="785"/>
      <c r="V1" s="785"/>
      <c r="W1" s="785"/>
      <c r="X1" s="785"/>
      <c r="Y1" s="785"/>
      <c r="Z1" s="785"/>
      <c r="AA1" s="785"/>
    </row>
    <row r="2" spans="1:27" s="50" customFormat="1" ht="3.75" customHeight="1">
      <c r="A2" s="49"/>
      <c r="B2" s="148"/>
      <c r="C2" s="148"/>
      <c r="D2" s="148"/>
      <c r="E2" s="148"/>
      <c r="F2" s="148"/>
      <c r="G2" s="148"/>
      <c r="H2" s="148"/>
      <c r="I2" s="148"/>
      <c r="J2" s="148"/>
      <c r="K2" s="148"/>
      <c r="L2" s="148"/>
      <c r="M2" s="148"/>
      <c r="N2" s="148"/>
      <c r="O2" s="148"/>
      <c r="P2" s="148"/>
      <c r="Q2" s="148"/>
      <c r="R2" s="148"/>
      <c r="S2" s="148"/>
      <c r="T2" s="148"/>
      <c r="U2" s="148"/>
      <c r="V2" s="148"/>
      <c r="W2" s="148"/>
      <c r="X2" s="148"/>
      <c r="Y2" s="148"/>
      <c r="Z2" s="148"/>
      <c r="AA2" s="148"/>
    </row>
    <row r="3" spans="1:27" ht="90" customHeight="1">
      <c r="A3" s="249"/>
      <c r="B3" s="250" t="s">
        <v>139</v>
      </c>
      <c r="C3" s="250" t="s">
        <v>203</v>
      </c>
      <c r="D3" s="250" t="s">
        <v>204</v>
      </c>
      <c r="E3" s="250" t="s">
        <v>205</v>
      </c>
      <c r="F3" s="250" t="s">
        <v>206</v>
      </c>
      <c r="G3" s="250" t="s">
        <v>207</v>
      </c>
      <c r="H3" s="250" t="s">
        <v>208</v>
      </c>
      <c r="I3" s="250" t="s">
        <v>209</v>
      </c>
      <c r="J3" s="250" t="s">
        <v>210</v>
      </c>
      <c r="K3" s="250" t="s">
        <v>211</v>
      </c>
      <c r="L3" s="250" t="s">
        <v>212</v>
      </c>
      <c r="M3" s="250" t="s">
        <v>213</v>
      </c>
      <c r="N3" s="250" t="s">
        <v>214</v>
      </c>
      <c r="O3" s="250" t="s">
        <v>215</v>
      </c>
      <c r="P3" s="250" t="s">
        <v>216</v>
      </c>
      <c r="Q3" s="250" t="s">
        <v>217</v>
      </c>
      <c r="R3" s="250" t="s">
        <v>218</v>
      </c>
      <c r="S3" s="250" t="s">
        <v>219</v>
      </c>
      <c r="T3" s="250" t="s">
        <v>187</v>
      </c>
      <c r="U3" s="250" t="s">
        <v>220</v>
      </c>
      <c r="V3" s="363" t="s">
        <v>878</v>
      </c>
      <c r="W3" s="363" t="s">
        <v>880</v>
      </c>
      <c r="X3" s="250" t="s">
        <v>221</v>
      </c>
      <c r="Y3" s="250" t="s">
        <v>222</v>
      </c>
      <c r="Z3" s="363" t="s">
        <v>879</v>
      </c>
      <c r="AA3" s="250" t="s">
        <v>224</v>
      </c>
    </row>
    <row r="4" spans="1:27" ht="19.5" customHeight="1">
      <c r="A4" s="465"/>
      <c r="B4" s="466"/>
      <c r="C4" s="786" t="s">
        <v>225</v>
      </c>
      <c r="D4" s="786"/>
      <c r="E4" s="786"/>
      <c r="F4" s="786"/>
      <c r="G4" s="786"/>
      <c r="H4" s="786"/>
      <c r="I4" s="466">
        <v>12</v>
      </c>
      <c r="J4" s="466">
        <v>12</v>
      </c>
      <c r="K4" s="466">
        <v>2</v>
      </c>
      <c r="L4" s="466">
        <v>1</v>
      </c>
      <c r="M4" s="466">
        <v>1</v>
      </c>
      <c r="N4" s="466">
        <v>12</v>
      </c>
      <c r="O4" s="466"/>
      <c r="P4" s="466">
        <v>12</v>
      </c>
      <c r="Q4" s="466"/>
      <c r="R4" s="466">
        <v>12</v>
      </c>
      <c r="S4" s="466">
        <v>12</v>
      </c>
      <c r="T4" s="466"/>
      <c r="U4" s="466"/>
      <c r="V4" s="466"/>
      <c r="W4" s="466"/>
      <c r="X4" s="466"/>
      <c r="Y4" s="466"/>
      <c r="Z4" s="466"/>
      <c r="AA4" s="466"/>
    </row>
    <row r="5" spans="1:27">
      <c r="A5" s="159">
        <v>0</v>
      </c>
      <c r="B5" s="51" t="s">
        <v>226</v>
      </c>
      <c r="C5" s="51" t="s">
        <v>34</v>
      </c>
      <c r="D5" s="51"/>
      <c r="E5" s="151">
        <v>45292</v>
      </c>
      <c r="F5" s="170">
        <f>'A.1.0_TablaAntigüedad_Sub'!K5</f>
        <v>5</v>
      </c>
      <c r="G5" s="51"/>
      <c r="H5" s="171">
        <v>1</v>
      </c>
      <c r="I5" s="172">
        <f>'A.0_Tablas salariales SC'!V9</f>
        <v>1125.8900000000001</v>
      </c>
      <c r="J5" s="172">
        <f>'A.1.0_TablaAntigüedad_Sub'!V5</f>
        <v>0</v>
      </c>
      <c r="K5" s="172">
        <f>I5+J5</f>
        <v>1125.8900000000001</v>
      </c>
      <c r="L5" s="172">
        <f>I5+J5</f>
        <v>1125.8900000000001</v>
      </c>
      <c r="M5" s="172">
        <f>'A.0_Tablas salariales SC'!AA9</f>
        <v>450</v>
      </c>
      <c r="N5" s="172">
        <f>I5*0.25*0</f>
        <v>0</v>
      </c>
      <c r="O5" s="172"/>
      <c r="P5" s="51">
        <v>0</v>
      </c>
      <c r="Q5" s="172">
        <f>IF(A5&gt;0,((I5*I$4)+(J5*J$4)+(K5*K$4)+(P5*P$4)+(L5*L$4)+(M5*M$4)+(N5*N$4)+(O5*O$4)),0)</f>
        <v>0</v>
      </c>
      <c r="R5" s="172">
        <f>'A.0_Tablas salariales SC'!$X$9</f>
        <v>115.69</v>
      </c>
      <c r="S5" s="172">
        <f>'A.0_Tablas salariales SC'!$W$9</f>
        <v>34.71</v>
      </c>
      <c r="T5" s="172"/>
      <c r="U5" s="172">
        <f>(R5*R$4)+(S5*S$4)+T5</f>
        <v>1804.8</v>
      </c>
      <c r="V5" s="172">
        <f>+Q5+U5</f>
        <v>1804.8</v>
      </c>
      <c r="W5" s="172">
        <f>V5*H5*A5</f>
        <v>0</v>
      </c>
      <c r="X5" s="173">
        <v>0.34599999999999997</v>
      </c>
      <c r="Y5" s="172">
        <f>V5*A5*H5*X5</f>
        <v>0</v>
      </c>
      <c r="Z5" s="172">
        <f>W5+Y5</f>
        <v>0</v>
      </c>
      <c r="AA5" s="166"/>
    </row>
    <row r="6" spans="1:27">
      <c r="A6" s="159">
        <v>0</v>
      </c>
      <c r="B6" s="51" t="s">
        <v>226</v>
      </c>
      <c r="C6" s="51" t="s">
        <v>34</v>
      </c>
      <c r="D6" s="51"/>
      <c r="E6" s="151">
        <v>45292</v>
      </c>
      <c r="F6" s="170">
        <f>'A.1.0_TablaAntigüedad_Sub'!K6</f>
        <v>5</v>
      </c>
      <c r="G6" s="51"/>
      <c r="H6" s="171">
        <v>1</v>
      </c>
      <c r="I6" s="172">
        <f>'A.0_Tablas salariales SC'!$V$9</f>
        <v>1125.8900000000001</v>
      </c>
      <c r="J6" s="172">
        <f>'A.1.0_TablaAntigüedad_Sub'!V6</f>
        <v>0</v>
      </c>
      <c r="K6" s="172">
        <f>I6+J6</f>
        <v>1125.8900000000001</v>
      </c>
      <c r="L6" s="172">
        <f>I6+J6</f>
        <v>1125.8900000000001</v>
      </c>
      <c r="M6" s="172">
        <f>'A.0_Tablas salariales SC'!AA9</f>
        <v>450</v>
      </c>
      <c r="N6" s="172">
        <f>I6*0.25*0</f>
        <v>0</v>
      </c>
      <c r="O6" s="172"/>
      <c r="P6" s="51">
        <v>0</v>
      </c>
      <c r="Q6" s="172">
        <f>IF(A6&gt;0,((I6*I$4)+(J6*J$4)+(K6*K$4)+(P6*P$4)+(L6*L$4)+(M6*M$4)+(N6*N$4)+(O6*O$4)),0)</f>
        <v>0</v>
      </c>
      <c r="R6" s="172">
        <f>'A.0_Tablas salariales SC'!$X$9</f>
        <v>115.69</v>
      </c>
      <c r="S6" s="172">
        <f>'A.0_Tablas salariales SC'!$W$9</f>
        <v>34.71</v>
      </c>
      <c r="T6" s="172"/>
      <c r="U6" s="172">
        <f>(R6*R$4)+(S6*S$4)+T6</f>
        <v>1804.8</v>
      </c>
      <c r="V6" s="172">
        <f>+Q6+U6</f>
        <v>1804.8</v>
      </c>
      <c r="W6" s="172">
        <f>V6*H6*A6</f>
        <v>0</v>
      </c>
      <c r="X6" s="173">
        <v>0.34599999999999997</v>
      </c>
      <c r="Y6" s="172">
        <f>V6*A6*H6*X6</f>
        <v>0</v>
      </c>
      <c r="Z6" s="172">
        <f>W6+Y6</f>
        <v>0</v>
      </c>
      <c r="AA6" s="166"/>
    </row>
    <row r="7" spans="1:27">
      <c r="A7" s="159">
        <v>0</v>
      </c>
      <c r="B7" s="51" t="s">
        <v>226</v>
      </c>
      <c r="C7" s="51" t="s">
        <v>34</v>
      </c>
      <c r="D7" s="51"/>
      <c r="E7" s="151">
        <v>45293</v>
      </c>
      <c r="F7" s="170">
        <f>'A.1.0_TablaAntigüedad_Sub'!K7</f>
        <v>5</v>
      </c>
      <c r="G7" s="51"/>
      <c r="H7" s="171">
        <v>2</v>
      </c>
      <c r="I7" s="172">
        <f>'A.0_Tablas salariales SC'!$V$9</f>
        <v>1125.8900000000001</v>
      </c>
      <c r="J7" s="172">
        <f>'A.1.0_TablaAntigüedad_Sub'!V7</f>
        <v>0</v>
      </c>
      <c r="K7" s="172">
        <f>I7+J7</f>
        <v>1125.8900000000001</v>
      </c>
      <c r="L7" s="172">
        <f>I7+J7</f>
        <v>1125.8900000000001</v>
      </c>
      <c r="M7" s="172">
        <f>'A.0_Tablas salariales SC'!AA10</f>
        <v>450</v>
      </c>
      <c r="N7" s="172">
        <f>I7*0.25*0</f>
        <v>0</v>
      </c>
      <c r="O7" s="172"/>
      <c r="P7" s="51">
        <v>0</v>
      </c>
      <c r="Q7" s="172">
        <f>IF(A7&gt;0,((I7*I$4)+(J7*J$4)+(K7*K$4)+(P7*P$4)+(L7*L$4)+(M7*M$4)+(N7*N$4)+(O7*O$4)),0)</f>
        <v>0</v>
      </c>
      <c r="R7" s="172">
        <f>'A.0_Tablas salariales SC'!$X$9</f>
        <v>115.69</v>
      </c>
      <c r="S7" s="172">
        <f>'A.0_Tablas salariales SC'!$W$9</f>
        <v>34.71</v>
      </c>
      <c r="T7" s="172"/>
      <c r="U7" s="172">
        <f>(R7*R$4)+(S7*S$4)+T7</f>
        <v>1804.8</v>
      </c>
      <c r="V7" s="172">
        <f>+Q7+U7</f>
        <v>1804.8</v>
      </c>
      <c r="W7" s="172">
        <f>V7*H7*A7</f>
        <v>0</v>
      </c>
      <c r="X7" s="173">
        <v>0.34599999999999997</v>
      </c>
      <c r="Y7" s="172">
        <f>V7*A7*H7*X7</f>
        <v>0</v>
      </c>
      <c r="Z7" s="172">
        <f>W7+Y7</f>
        <v>0</v>
      </c>
      <c r="AA7" s="166"/>
    </row>
    <row r="8" spans="1:27">
      <c r="A8" s="154"/>
      <c r="B8" s="154"/>
      <c r="C8" s="154"/>
      <c r="D8" s="154"/>
      <c r="E8" s="154"/>
      <c r="F8" s="154"/>
      <c r="G8" s="154"/>
      <c r="H8" s="154"/>
      <c r="I8" s="163"/>
      <c r="J8" s="154"/>
      <c r="K8" s="163"/>
      <c r="L8" s="163"/>
      <c r="M8" s="163"/>
      <c r="N8" s="164"/>
      <c r="O8" s="163"/>
      <c r="P8" s="154"/>
      <c r="Q8" s="163"/>
      <c r="R8" s="154"/>
      <c r="S8" s="154"/>
      <c r="T8" s="154"/>
      <c r="U8" s="163"/>
      <c r="V8" s="163"/>
      <c r="W8" s="163"/>
      <c r="X8" s="167"/>
      <c r="Y8" s="163"/>
      <c r="Z8" s="163"/>
      <c r="AA8" s="168">
        <f>Z5+Z6+Z7</f>
        <v>0</v>
      </c>
    </row>
    <row r="9" spans="1:27">
      <c r="A9" s="159">
        <v>1</v>
      </c>
      <c r="B9" s="51" t="s">
        <v>227</v>
      </c>
      <c r="C9" s="51" t="s">
        <v>228</v>
      </c>
      <c r="D9" s="51"/>
      <c r="E9" s="151">
        <v>38932</v>
      </c>
      <c r="F9" s="170">
        <f>'A.1.0_TablaAntigüedad_Sub'!K9</f>
        <v>23</v>
      </c>
      <c r="G9" s="51"/>
      <c r="H9" s="171">
        <v>1</v>
      </c>
      <c r="I9" s="172">
        <f>'A.0_Tablas salariales SC'!$V$10</f>
        <v>1190.32</v>
      </c>
      <c r="J9" s="172">
        <f>'A.1.0_TablaAntigüedad_Sub'!V9</f>
        <v>343.31</v>
      </c>
      <c r="K9" s="172">
        <f t="shared" ref="K9:K26" si="0">I9+J9</f>
        <v>1533.6299999999999</v>
      </c>
      <c r="L9" s="172">
        <f t="shared" ref="L9:L26" si="1">I9+J9</f>
        <v>1533.6299999999999</v>
      </c>
      <c r="M9" s="172">
        <f>'A.0_Tablas salariales SC'!$AA$10</f>
        <v>450</v>
      </c>
      <c r="N9" s="172">
        <f t="shared" ref="N9:N26" si="2">I9*0.25*0</f>
        <v>0</v>
      </c>
      <c r="O9" s="172"/>
      <c r="P9" s="172">
        <v>0</v>
      </c>
      <c r="Q9" s="172">
        <f t="shared" ref="Q9:Q64" si="3">IF(A9&gt;0,((I9*I$4)+(J9*J$4)+(K9*K$4)+(P9*P$4)+(L9*L$4)+(M9*M$4)+(N9*N$4)+(O9*O$4)),0)</f>
        <v>23454.45</v>
      </c>
      <c r="R9" s="172">
        <f>'A.0_Tablas salariales SC'!$X$10</f>
        <v>115.69</v>
      </c>
      <c r="S9" s="172">
        <f>'A.0_Tablas salariales SC'!$W$10</f>
        <v>34.71</v>
      </c>
      <c r="T9" s="172"/>
      <c r="U9" s="172">
        <f>(R9*R$4)+(S9*S$4)+T9</f>
        <v>1804.8</v>
      </c>
      <c r="V9" s="172">
        <f t="shared" ref="V9:V26" si="4">+Q9+U9</f>
        <v>25259.25</v>
      </c>
      <c r="W9" s="172">
        <f t="shared" ref="W9:W64" si="5">V9*H9*A9</f>
        <v>25259.25</v>
      </c>
      <c r="X9" s="173">
        <v>0.34599999999999997</v>
      </c>
      <c r="Y9" s="172">
        <f t="shared" ref="Y9:Y93" si="6">V9*A9*H9*X9</f>
        <v>8739.700499999999</v>
      </c>
      <c r="Z9" s="172">
        <f t="shared" ref="Z9:Z64" si="7">W9+Y9</f>
        <v>33998.950499999999</v>
      </c>
      <c r="AA9" s="166"/>
    </row>
    <row r="10" spans="1:27">
      <c r="A10" s="159">
        <v>1</v>
      </c>
      <c r="B10" s="51" t="s">
        <v>227</v>
      </c>
      <c r="C10" s="51" t="s">
        <v>228</v>
      </c>
      <c r="D10" s="51"/>
      <c r="E10" s="151">
        <v>38749</v>
      </c>
      <c r="F10" s="170">
        <f>'A.1.0_TablaAntigüedad_Sub'!K10</f>
        <v>23</v>
      </c>
      <c r="G10" s="51"/>
      <c r="H10" s="171">
        <v>1</v>
      </c>
      <c r="I10" s="172">
        <f>'A.0_Tablas salariales SC'!$V$10</f>
        <v>1190.32</v>
      </c>
      <c r="J10" s="172">
        <f>'A.1.0_TablaAntigüedad_Sub'!V10</f>
        <v>343.31</v>
      </c>
      <c r="K10" s="172">
        <f t="shared" si="0"/>
        <v>1533.6299999999999</v>
      </c>
      <c r="L10" s="172">
        <f t="shared" si="1"/>
        <v>1533.6299999999999</v>
      </c>
      <c r="M10" s="172">
        <f>'A.0_Tablas salariales SC'!$AA$10</f>
        <v>450</v>
      </c>
      <c r="N10" s="172">
        <f>I10*0.25*1</f>
        <v>297.58</v>
      </c>
      <c r="O10" s="172"/>
      <c r="P10" s="172">
        <v>0</v>
      </c>
      <c r="Q10" s="172">
        <f t="shared" si="3"/>
        <v>27025.41</v>
      </c>
      <c r="R10" s="172">
        <f>'A.0_Tablas salariales SC'!$X$10</f>
        <v>115.69</v>
      </c>
      <c r="S10" s="172">
        <f>'A.0_Tablas salariales SC'!$W$10</f>
        <v>34.71</v>
      </c>
      <c r="T10" s="172"/>
      <c r="U10" s="172">
        <f t="shared" ref="U10:U27" si="8">(R10*R$4)+(S10*S$4)+T10</f>
        <v>1804.8</v>
      </c>
      <c r="V10" s="172">
        <f t="shared" si="4"/>
        <v>28830.21</v>
      </c>
      <c r="W10" s="172">
        <f t="shared" si="5"/>
        <v>28830.21</v>
      </c>
      <c r="X10" s="173">
        <v>0.34599999999999997</v>
      </c>
      <c r="Y10" s="172">
        <f t="shared" si="6"/>
        <v>9975.2526599999983</v>
      </c>
      <c r="Z10" s="172">
        <f t="shared" si="7"/>
        <v>38805.462659999997</v>
      </c>
      <c r="AA10" s="166"/>
    </row>
    <row r="11" spans="1:27">
      <c r="A11" s="159">
        <v>1</v>
      </c>
      <c r="B11" s="51" t="s">
        <v>227</v>
      </c>
      <c r="C11" s="51" t="s">
        <v>34</v>
      </c>
      <c r="D11" s="51"/>
      <c r="E11" s="151">
        <v>38749</v>
      </c>
      <c r="F11" s="170">
        <f>'A.1.0_TablaAntigüedad_Sub'!K11</f>
        <v>23</v>
      </c>
      <c r="G11" s="51"/>
      <c r="H11" s="171">
        <v>0.6</v>
      </c>
      <c r="I11" s="172">
        <f>'A.0_Tablas salariales SC'!$V$10</f>
        <v>1190.32</v>
      </c>
      <c r="J11" s="172">
        <f>'A.1.0_TablaAntigüedad_Sub'!V11</f>
        <v>343.31</v>
      </c>
      <c r="K11" s="172">
        <f t="shared" si="0"/>
        <v>1533.6299999999999</v>
      </c>
      <c r="L11" s="172">
        <f t="shared" si="1"/>
        <v>1533.6299999999999</v>
      </c>
      <c r="M11" s="172">
        <f>'A.0_Tablas salariales SC'!$AA$10</f>
        <v>450</v>
      </c>
      <c r="N11" s="172">
        <f t="shared" si="2"/>
        <v>0</v>
      </c>
      <c r="O11" s="172"/>
      <c r="P11" s="172">
        <v>0</v>
      </c>
      <c r="Q11" s="172">
        <f t="shared" si="3"/>
        <v>23454.45</v>
      </c>
      <c r="R11" s="172">
        <f>'A.0_Tablas salariales SC'!$X$10</f>
        <v>115.69</v>
      </c>
      <c r="S11" s="172">
        <f>'A.0_Tablas salariales SC'!$W$10</f>
        <v>34.71</v>
      </c>
      <c r="T11" s="172"/>
      <c r="U11" s="172">
        <f t="shared" si="8"/>
        <v>1804.8</v>
      </c>
      <c r="V11" s="172">
        <f t="shared" si="4"/>
        <v>25259.25</v>
      </c>
      <c r="W11" s="172">
        <f t="shared" si="5"/>
        <v>15155.55</v>
      </c>
      <c r="X11" s="173">
        <v>0.34599999999999997</v>
      </c>
      <c r="Y11" s="172">
        <f t="shared" si="6"/>
        <v>5243.8202999999994</v>
      </c>
      <c r="Z11" s="172">
        <f t="shared" si="7"/>
        <v>20399.370299999999</v>
      </c>
      <c r="AA11" s="166"/>
    </row>
    <row r="12" spans="1:27">
      <c r="A12" s="159">
        <v>1</v>
      </c>
      <c r="B12" s="51" t="s">
        <v>227</v>
      </c>
      <c r="C12" s="51" t="s">
        <v>34</v>
      </c>
      <c r="D12" s="51"/>
      <c r="E12" s="151">
        <v>38932</v>
      </c>
      <c r="F12" s="170">
        <f>'A.1.0_TablaAntigüedad_Sub'!K12</f>
        <v>23</v>
      </c>
      <c r="G12" s="51"/>
      <c r="H12" s="171">
        <v>1</v>
      </c>
      <c r="I12" s="172">
        <f>'A.0_Tablas salariales SC'!$V$10</f>
        <v>1190.32</v>
      </c>
      <c r="J12" s="172">
        <f>'A.1.0_TablaAntigüedad_Sub'!V12</f>
        <v>343.31</v>
      </c>
      <c r="K12" s="172">
        <f t="shared" si="0"/>
        <v>1533.6299999999999</v>
      </c>
      <c r="L12" s="172">
        <f t="shared" si="1"/>
        <v>1533.6299999999999</v>
      </c>
      <c r="M12" s="172">
        <f>'A.0_Tablas salariales SC'!$AA$10</f>
        <v>450</v>
      </c>
      <c r="N12" s="172">
        <f t="shared" si="2"/>
        <v>0</v>
      </c>
      <c r="O12" s="172"/>
      <c r="P12" s="172">
        <v>0</v>
      </c>
      <c r="Q12" s="172">
        <f t="shared" si="3"/>
        <v>23454.45</v>
      </c>
      <c r="R12" s="172">
        <f>'A.0_Tablas salariales SC'!$X$10</f>
        <v>115.69</v>
      </c>
      <c r="S12" s="172">
        <f>'A.0_Tablas salariales SC'!$W$10</f>
        <v>34.71</v>
      </c>
      <c r="T12" s="172"/>
      <c r="U12" s="172">
        <f t="shared" si="8"/>
        <v>1804.8</v>
      </c>
      <c r="V12" s="172">
        <f t="shared" si="4"/>
        <v>25259.25</v>
      </c>
      <c r="W12" s="172">
        <f t="shared" si="5"/>
        <v>25259.25</v>
      </c>
      <c r="X12" s="173">
        <v>0.34599999999999997</v>
      </c>
      <c r="Y12" s="172">
        <f t="shared" si="6"/>
        <v>8739.700499999999</v>
      </c>
      <c r="Z12" s="172">
        <f t="shared" si="7"/>
        <v>33998.950499999999</v>
      </c>
      <c r="AA12" s="166"/>
    </row>
    <row r="13" spans="1:27">
      <c r="A13" s="159">
        <v>1</v>
      </c>
      <c r="B13" s="51" t="s">
        <v>227</v>
      </c>
      <c r="C13" s="51" t="s">
        <v>34</v>
      </c>
      <c r="D13" s="51"/>
      <c r="E13" s="151">
        <v>42036</v>
      </c>
      <c r="F13" s="170">
        <f>'A.1.0_TablaAntigüedad_Sub'!K13</f>
        <v>14</v>
      </c>
      <c r="G13" s="51"/>
      <c r="H13" s="171">
        <v>1</v>
      </c>
      <c r="I13" s="172">
        <f>'A.0_Tablas salariales SC'!$V$10</f>
        <v>1190.32</v>
      </c>
      <c r="J13" s="172">
        <f>'A.1.0_TablaAntigüedad_Sub'!V13</f>
        <v>175.53</v>
      </c>
      <c r="K13" s="172">
        <f t="shared" si="0"/>
        <v>1365.85</v>
      </c>
      <c r="L13" s="172">
        <f t="shared" si="1"/>
        <v>1365.85</v>
      </c>
      <c r="M13" s="172">
        <f>'A.0_Tablas salariales SC'!$AA$10</f>
        <v>450</v>
      </c>
      <c r="N13" s="172">
        <f t="shared" si="2"/>
        <v>0</v>
      </c>
      <c r="O13" s="172"/>
      <c r="P13" s="172">
        <v>0</v>
      </c>
      <c r="Q13" s="172">
        <f t="shared" si="3"/>
        <v>20937.75</v>
      </c>
      <c r="R13" s="172">
        <f>'A.0_Tablas salariales SC'!$X$10</f>
        <v>115.69</v>
      </c>
      <c r="S13" s="172">
        <f>'A.0_Tablas salariales SC'!$W$10</f>
        <v>34.71</v>
      </c>
      <c r="T13" s="172"/>
      <c r="U13" s="172">
        <f t="shared" si="8"/>
        <v>1804.8</v>
      </c>
      <c r="V13" s="172">
        <f t="shared" si="4"/>
        <v>22742.55</v>
      </c>
      <c r="W13" s="172">
        <f t="shared" si="5"/>
        <v>22742.55</v>
      </c>
      <c r="X13" s="173">
        <v>0.34599999999999997</v>
      </c>
      <c r="Y13" s="172">
        <f t="shared" si="6"/>
        <v>7868.9222999999993</v>
      </c>
      <c r="Z13" s="172">
        <f t="shared" si="7"/>
        <v>30611.472299999998</v>
      </c>
      <c r="AA13" s="166"/>
    </row>
    <row r="14" spans="1:27">
      <c r="A14" s="159">
        <v>1</v>
      </c>
      <c r="B14" s="51" t="s">
        <v>227</v>
      </c>
      <c r="C14" s="51" t="s">
        <v>34</v>
      </c>
      <c r="D14" s="51"/>
      <c r="E14" s="151">
        <v>38749</v>
      </c>
      <c r="F14" s="170">
        <f>'A.1.0_TablaAntigüedad_Sub'!K14</f>
        <v>23</v>
      </c>
      <c r="G14" s="51"/>
      <c r="H14" s="171">
        <v>1</v>
      </c>
      <c r="I14" s="172">
        <f>'A.0_Tablas salariales SC'!$V$10</f>
        <v>1190.32</v>
      </c>
      <c r="J14" s="172">
        <f>'A.1.0_TablaAntigüedad_Sub'!V14</f>
        <v>343.31</v>
      </c>
      <c r="K14" s="172">
        <f t="shared" si="0"/>
        <v>1533.6299999999999</v>
      </c>
      <c r="L14" s="172">
        <f t="shared" si="1"/>
        <v>1533.6299999999999</v>
      </c>
      <c r="M14" s="172">
        <f>'A.0_Tablas salariales SC'!$AA$10</f>
        <v>450</v>
      </c>
      <c r="N14" s="172">
        <f t="shared" si="2"/>
        <v>0</v>
      </c>
      <c r="O14" s="172"/>
      <c r="P14" s="172">
        <v>0</v>
      </c>
      <c r="Q14" s="172">
        <f t="shared" si="3"/>
        <v>23454.45</v>
      </c>
      <c r="R14" s="172">
        <f>'A.0_Tablas salariales SC'!$X$10</f>
        <v>115.69</v>
      </c>
      <c r="S14" s="172">
        <f>'A.0_Tablas salariales SC'!$W$10</f>
        <v>34.71</v>
      </c>
      <c r="T14" s="172"/>
      <c r="U14" s="172">
        <f t="shared" si="8"/>
        <v>1804.8</v>
      </c>
      <c r="V14" s="172">
        <f t="shared" si="4"/>
        <v>25259.25</v>
      </c>
      <c r="W14" s="172">
        <f t="shared" si="5"/>
        <v>25259.25</v>
      </c>
      <c r="X14" s="173">
        <v>0.34599999999999997</v>
      </c>
      <c r="Y14" s="172">
        <f t="shared" si="6"/>
        <v>8739.700499999999</v>
      </c>
      <c r="Z14" s="172">
        <f t="shared" si="7"/>
        <v>33998.950499999999</v>
      </c>
      <c r="AA14" s="166"/>
    </row>
    <row r="15" spans="1:27">
      <c r="A15" s="159">
        <v>1</v>
      </c>
      <c r="B15" s="51" t="s">
        <v>227</v>
      </c>
      <c r="C15" s="51" t="s">
        <v>34</v>
      </c>
      <c r="D15" s="51"/>
      <c r="E15" s="151">
        <v>40250</v>
      </c>
      <c r="F15" s="170">
        <f>'A.1.0_TablaAntigüedad_Sub'!K15</f>
        <v>19</v>
      </c>
      <c r="G15" s="51"/>
      <c r="H15" s="171">
        <v>1</v>
      </c>
      <c r="I15" s="172">
        <f>'A.0_Tablas salariales SC'!$V$10</f>
        <v>1190.32</v>
      </c>
      <c r="J15" s="172">
        <f>'A.1.0_TablaAntigüedad_Sub'!V15</f>
        <v>264.41000000000003</v>
      </c>
      <c r="K15" s="172">
        <f t="shared" si="0"/>
        <v>1454.73</v>
      </c>
      <c r="L15" s="172">
        <f t="shared" si="1"/>
        <v>1454.73</v>
      </c>
      <c r="M15" s="172">
        <f>'A.0_Tablas salariales SC'!$AA$10</f>
        <v>450</v>
      </c>
      <c r="N15" s="172">
        <f t="shared" si="2"/>
        <v>0</v>
      </c>
      <c r="O15" s="172"/>
      <c r="P15" s="172">
        <v>0</v>
      </c>
      <c r="Q15" s="172">
        <f t="shared" si="3"/>
        <v>22270.95</v>
      </c>
      <c r="R15" s="172">
        <f>'A.0_Tablas salariales SC'!$X$10</f>
        <v>115.69</v>
      </c>
      <c r="S15" s="172">
        <f>'A.0_Tablas salariales SC'!$W$10</f>
        <v>34.71</v>
      </c>
      <c r="T15" s="172"/>
      <c r="U15" s="172">
        <f t="shared" si="8"/>
        <v>1804.8</v>
      </c>
      <c r="V15" s="172">
        <f t="shared" si="4"/>
        <v>24075.75</v>
      </c>
      <c r="W15" s="172">
        <f t="shared" si="5"/>
        <v>24075.75</v>
      </c>
      <c r="X15" s="173">
        <v>0.34599999999999997</v>
      </c>
      <c r="Y15" s="172">
        <f t="shared" si="6"/>
        <v>8330.209499999999</v>
      </c>
      <c r="Z15" s="172">
        <f t="shared" si="7"/>
        <v>32405.959499999997</v>
      </c>
      <c r="AA15" s="166"/>
    </row>
    <row r="16" spans="1:27">
      <c r="A16" s="159">
        <v>1</v>
      </c>
      <c r="B16" s="51" t="s">
        <v>227</v>
      </c>
      <c r="C16" s="51" t="s">
        <v>34</v>
      </c>
      <c r="D16" s="51"/>
      <c r="E16" s="151">
        <v>39038</v>
      </c>
      <c r="F16" s="170">
        <f>'A.1.0_TablaAntigüedad_Sub'!K16</f>
        <v>23</v>
      </c>
      <c r="G16" s="51"/>
      <c r="H16" s="171">
        <v>1</v>
      </c>
      <c r="I16" s="172">
        <f>'A.0_Tablas salariales SC'!$V$10</f>
        <v>1190.32</v>
      </c>
      <c r="J16" s="172">
        <f>'A.1.0_TablaAntigüedad_Sub'!V16</f>
        <v>343.31</v>
      </c>
      <c r="K16" s="172">
        <f t="shared" si="0"/>
        <v>1533.6299999999999</v>
      </c>
      <c r="L16" s="172">
        <f t="shared" si="1"/>
        <v>1533.6299999999999</v>
      </c>
      <c r="M16" s="172">
        <f>'A.0_Tablas salariales SC'!$AA$10</f>
        <v>450</v>
      </c>
      <c r="N16" s="172">
        <f t="shared" si="2"/>
        <v>0</v>
      </c>
      <c r="O16" s="172"/>
      <c r="P16" s="172">
        <v>0</v>
      </c>
      <c r="Q16" s="172">
        <f t="shared" si="3"/>
        <v>23454.45</v>
      </c>
      <c r="R16" s="172">
        <f>'A.0_Tablas salariales SC'!$X$10</f>
        <v>115.69</v>
      </c>
      <c r="S16" s="172">
        <f>'A.0_Tablas salariales SC'!$W$10</f>
        <v>34.71</v>
      </c>
      <c r="T16" s="172"/>
      <c r="U16" s="172">
        <f t="shared" si="8"/>
        <v>1804.8</v>
      </c>
      <c r="V16" s="172">
        <f t="shared" si="4"/>
        <v>25259.25</v>
      </c>
      <c r="W16" s="172">
        <f t="shared" si="5"/>
        <v>25259.25</v>
      </c>
      <c r="X16" s="173">
        <v>0.34599999999999997</v>
      </c>
      <c r="Y16" s="172">
        <f t="shared" si="6"/>
        <v>8739.700499999999</v>
      </c>
      <c r="Z16" s="172">
        <f t="shared" si="7"/>
        <v>33998.950499999999</v>
      </c>
      <c r="AA16" s="166"/>
    </row>
    <row r="17" spans="1:27">
      <c r="A17" s="159">
        <v>1</v>
      </c>
      <c r="B17" s="51" t="s">
        <v>227</v>
      </c>
      <c r="C17" s="51" t="s">
        <v>34</v>
      </c>
      <c r="D17" s="51"/>
      <c r="E17" s="151">
        <v>39663</v>
      </c>
      <c r="F17" s="170">
        <f>'A.1.0_TablaAntigüedad_Sub'!K17</f>
        <v>21</v>
      </c>
      <c r="G17" s="51"/>
      <c r="H17" s="171">
        <v>1</v>
      </c>
      <c r="I17" s="172">
        <f>'A.0_Tablas salariales SC'!$V$10</f>
        <v>1190.32</v>
      </c>
      <c r="J17" s="172">
        <f>'A.1.0_TablaAntigüedad_Sub'!V17</f>
        <v>280.79000000000002</v>
      </c>
      <c r="K17" s="172">
        <f t="shared" si="0"/>
        <v>1471.11</v>
      </c>
      <c r="L17" s="172">
        <f t="shared" si="1"/>
        <v>1471.11</v>
      </c>
      <c r="M17" s="172">
        <f>'A.0_Tablas salariales SC'!$AA$10</f>
        <v>450</v>
      </c>
      <c r="N17" s="172">
        <f t="shared" si="2"/>
        <v>0</v>
      </c>
      <c r="O17" s="172"/>
      <c r="P17" s="172">
        <v>0</v>
      </c>
      <c r="Q17" s="172">
        <f t="shared" si="3"/>
        <v>22516.65</v>
      </c>
      <c r="R17" s="172">
        <f>'A.0_Tablas salariales SC'!$X$10</f>
        <v>115.69</v>
      </c>
      <c r="S17" s="172">
        <f>'A.0_Tablas salariales SC'!$W$10</f>
        <v>34.71</v>
      </c>
      <c r="T17" s="172"/>
      <c r="U17" s="172">
        <f t="shared" si="8"/>
        <v>1804.8</v>
      </c>
      <c r="V17" s="172">
        <f t="shared" si="4"/>
        <v>24321.45</v>
      </c>
      <c r="W17" s="172">
        <f t="shared" si="5"/>
        <v>24321.45</v>
      </c>
      <c r="X17" s="173">
        <v>0.34599999999999997</v>
      </c>
      <c r="Y17" s="172">
        <f t="shared" si="6"/>
        <v>8415.2217000000001</v>
      </c>
      <c r="Z17" s="172">
        <f t="shared" si="7"/>
        <v>32736.671699999999</v>
      </c>
      <c r="AA17" s="166"/>
    </row>
    <row r="18" spans="1:27">
      <c r="A18" s="159">
        <v>1</v>
      </c>
      <c r="B18" s="51" t="s">
        <v>227</v>
      </c>
      <c r="C18" s="51" t="s">
        <v>34</v>
      </c>
      <c r="D18" s="51"/>
      <c r="E18" s="151">
        <v>39650</v>
      </c>
      <c r="F18" s="170">
        <f>'A.1.0_TablaAntigüedad_Sub'!K18</f>
        <v>21</v>
      </c>
      <c r="G18" s="51"/>
      <c r="H18" s="171">
        <v>1</v>
      </c>
      <c r="I18" s="172">
        <f>'A.0_Tablas salariales SC'!$V$10</f>
        <v>1190.32</v>
      </c>
      <c r="J18" s="172">
        <f>'A.1.0_TablaAntigüedad_Sub'!V18</f>
        <v>280.79000000000002</v>
      </c>
      <c r="K18" s="172">
        <f t="shared" si="0"/>
        <v>1471.11</v>
      </c>
      <c r="L18" s="172">
        <f t="shared" si="1"/>
        <v>1471.11</v>
      </c>
      <c r="M18" s="172">
        <f>'A.0_Tablas salariales SC'!$AA$10</f>
        <v>450</v>
      </c>
      <c r="N18" s="172">
        <f t="shared" si="2"/>
        <v>0</v>
      </c>
      <c r="O18" s="172"/>
      <c r="P18" s="172">
        <v>0</v>
      </c>
      <c r="Q18" s="172">
        <f t="shared" si="3"/>
        <v>22516.65</v>
      </c>
      <c r="R18" s="172">
        <f>'A.0_Tablas salariales SC'!$X$10</f>
        <v>115.69</v>
      </c>
      <c r="S18" s="172">
        <f>'A.0_Tablas salariales SC'!$W$10</f>
        <v>34.71</v>
      </c>
      <c r="T18" s="172"/>
      <c r="U18" s="172">
        <f t="shared" si="8"/>
        <v>1804.8</v>
      </c>
      <c r="V18" s="172">
        <f t="shared" si="4"/>
        <v>24321.45</v>
      </c>
      <c r="W18" s="172">
        <f t="shared" si="5"/>
        <v>24321.45</v>
      </c>
      <c r="X18" s="173">
        <v>0.34599999999999997</v>
      </c>
      <c r="Y18" s="172">
        <f t="shared" si="6"/>
        <v>8415.2217000000001</v>
      </c>
      <c r="Z18" s="172">
        <f t="shared" si="7"/>
        <v>32736.671699999999</v>
      </c>
      <c r="AA18" s="166"/>
    </row>
    <row r="19" spans="1:27">
      <c r="A19" s="159">
        <v>1</v>
      </c>
      <c r="B19" s="51" t="s">
        <v>227</v>
      </c>
      <c r="C19" s="51" t="s">
        <v>34</v>
      </c>
      <c r="D19" s="51"/>
      <c r="E19" s="151">
        <v>38749</v>
      </c>
      <c r="F19" s="170">
        <f>'A.1.0_TablaAntigüedad_Sub'!K19</f>
        <v>23</v>
      </c>
      <c r="G19" s="51"/>
      <c r="H19" s="171">
        <v>1</v>
      </c>
      <c r="I19" s="172">
        <f>'A.0_Tablas salariales SC'!$V$10</f>
        <v>1190.32</v>
      </c>
      <c r="J19" s="172">
        <f>'A.1.0_TablaAntigüedad_Sub'!V19</f>
        <v>343.31</v>
      </c>
      <c r="K19" s="172">
        <f t="shared" si="0"/>
        <v>1533.6299999999999</v>
      </c>
      <c r="L19" s="172">
        <f t="shared" si="1"/>
        <v>1533.6299999999999</v>
      </c>
      <c r="M19" s="172">
        <f>'A.0_Tablas salariales SC'!$AA$10</f>
        <v>450</v>
      </c>
      <c r="N19" s="172">
        <f t="shared" si="2"/>
        <v>0</v>
      </c>
      <c r="O19" s="172"/>
      <c r="P19" s="172">
        <v>0</v>
      </c>
      <c r="Q19" s="172">
        <f t="shared" si="3"/>
        <v>23454.45</v>
      </c>
      <c r="R19" s="172">
        <f>'A.0_Tablas salariales SC'!$X$10</f>
        <v>115.69</v>
      </c>
      <c r="S19" s="172">
        <f>'A.0_Tablas salariales SC'!$W$10</f>
        <v>34.71</v>
      </c>
      <c r="T19" s="172"/>
      <c r="U19" s="172">
        <f t="shared" si="8"/>
        <v>1804.8</v>
      </c>
      <c r="V19" s="172">
        <f t="shared" si="4"/>
        <v>25259.25</v>
      </c>
      <c r="W19" s="172">
        <f t="shared" si="5"/>
        <v>25259.25</v>
      </c>
      <c r="X19" s="173">
        <v>0.34599999999999997</v>
      </c>
      <c r="Y19" s="172">
        <f t="shared" si="6"/>
        <v>8739.700499999999</v>
      </c>
      <c r="Z19" s="172">
        <f t="shared" si="7"/>
        <v>33998.950499999999</v>
      </c>
      <c r="AA19" s="166"/>
    </row>
    <row r="20" spans="1:27">
      <c r="A20" s="159">
        <v>1</v>
      </c>
      <c r="B20" s="51" t="s">
        <v>227</v>
      </c>
      <c r="C20" s="51" t="s">
        <v>34</v>
      </c>
      <c r="D20" s="51"/>
      <c r="E20" s="151">
        <v>38749</v>
      </c>
      <c r="F20" s="170">
        <f>'A.1.0_TablaAntigüedad_Sub'!K20</f>
        <v>23</v>
      </c>
      <c r="G20" s="51"/>
      <c r="H20" s="171">
        <v>1</v>
      </c>
      <c r="I20" s="172">
        <f>'A.0_Tablas salariales SC'!$V$10</f>
        <v>1190.32</v>
      </c>
      <c r="J20" s="172">
        <f>'A.1.0_TablaAntigüedad_Sub'!V20</f>
        <v>343.31</v>
      </c>
      <c r="K20" s="172">
        <f t="shared" si="0"/>
        <v>1533.6299999999999</v>
      </c>
      <c r="L20" s="172">
        <f t="shared" si="1"/>
        <v>1533.6299999999999</v>
      </c>
      <c r="M20" s="172">
        <f>'A.0_Tablas salariales SC'!$AA$10</f>
        <v>450</v>
      </c>
      <c r="N20" s="172">
        <f t="shared" si="2"/>
        <v>0</v>
      </c>
      <c r="O20" s="172"/>
      <c r="P20" s="172">
        <v>0</v>
      </c>
      <c r="Q20" s="172">
        <f t="shared" si="3"/>
        <v>23454.45</v>
      </c>
      <c r="R20" s="172">
        <f>'A.0_Tablas salariales SC'!$X$10</f>
        <v>115.69</v>
      </c>
      <c r="S20" s="172">
        <f>'A.0_Tablas salariales SC'!$W$10</f>
        <v>34.71</v>
      </c>
      <c r="T20" s="172"/>
      <c r="U20" s="172">
        <f t="shared" si="8"/>
        <v>1804.8</v>
      </c>
      <c r="V20" s="172">
        <f t="shared" si="4"/>
        <v>25259.25</v>
      </c>
      <c r="W20" s="172">
        <f t="shared" si="5"/>
        <v>25259.25</v>
      </c>
      <c r="X20" s="173">
        <v>0.34599999999999997</v>
      </c>
      <c r="Y20" s="172">
        <f t="shared" si="6"/>
        <v>8739.700499999999</v>
      </c>
      <c r="Z20" s="172">
        <f t="shared" si="7"/>
        <v>33998.950499999999</v>
      </c>
      <c r="AA20" s="166"/>
    </row>
    <row r="21" spans="1:27">
      <c r="A21" s="159">
        <v>1</v>
      </c>
      <c r="B21" s="51" t="s">
        <v>227</v>
      </c>
      <c r="C21" s="51" t="s">
        <v>34</v>
      </c>
      <c r="D21" s="51"/>
      <c r="E21" s="151">
        <v>40196</v>
      </c>
      <c r="F21" s="170">
        <f>'A.1.0_TablaAntigüedad_Sub'!K21</f>
        <v>19</v>
      </c>
      <c r="G21" s="51"/>
      <c r="H21" s="171">
        <v>0.6</v>
      </c>
      <c r="I21" s="172">
        <f>'A.0_Tablas salariales SC'!$V$10</f>
        <v>1190.32</v>
      </c>
      <c r="J21" s="172">
        <f>'A.1.0_TablaAntigüedad_Sub'!V21</f>
        <v>264.41000000000003</v>
      </c>
      <c r="K21" s="172">
        <f t="shared" si="0"/>
        <v>1454.73</v>
      </c>
      <c r="L21" s="172">
        <f t="shared" si="1"/>
        <v>1454.73</v>
      </c>
      <c r="M21" s="172">
        <f>'A.0_Tablas salariales SC'!$AA$10</f>
        <v>450</v>
      </c>
      <c r="N21" s="172">
        <f t="shared" si="2"/>
        <v>0</v>
      </c>
      <c r="O21" s="172"/>
      <c r="P21" s="172">
        <v>0</v>
      </c>
      <c r="Q21" s="172">
        <f t="shared" si="3"/>
        <v>22270.95</v>
      </c>
      <c r="R21" s="172">
        <f>'A.0_Tablas salariales SC'!$X$10</f>
        <v>115.69</v>
      </c>
      <c r="S21" s="172">
        <f>'A.0_Tablas salariales SC'!$W$10</f>
        <v>34.71</v>
      </c>
      <c r="T21" s="172"/>
      <c r="U21" s="172">
        <f t="shared" si="8"/>
        <v>1804.8</v>
      </c>
      <c r="V21" s="172">
        <f t="shared" si="4"/>
        <v>24075.75</v>
      </c>
      <c r="W21" s="172">
        <f t="shared" si="5"/>
        <v>14445.449999999999</v>
      </c>
      <c r="X21" s="173">
        <v>0.34599999999999997</v>
      </c>
      <c r="Y21" s="172">
        <f t="shared" si="6"/>
        <v>4998.1256999999996</v>
      </c>
      <c r="Z21" s="172">
        <f t="shared" si="7"/>
        <v>19443.575699999998</v>
      </c>
      <c r="AA21" s="166"/>
    </row>
    <row r="22" spans="1:27">
      <c r="A22" s="159">
        <v>1</v>
      </c>
      <c r="B22" s="51" t="s">
        <v>227</v>
      </c>
      <c r="C22" s="51" t="s">
        <v>34</v>
      </c>
      <c r="D22" s="51"/>
      <c r="E22" s="151">
        <v>39539</v>
      </c>
      <c r="F22" s="170">
        <f>'A.1.0_TablaAntigüedad_Sub'!K22</f>
        <v>21</v>
      </c>
      <c r="G22" s="51"/>
      <c r="H22" s="171">
        <v>1</v>
      </c>
      <c r="I22" s="172">
        <f>'A.0_Tablas salariales SC'!$V$10</f>
        <v>1190.32</v>
      </c>
      <c r="J22" s="172">
        <f>'A.1.0_TablaAntigüedad_Sub'!V22</f>
        <v>280.79000000000002</v>
      </c>
      <c r="K22" s="172">
        <f t="shared" si="0"/>
        <v>1471.11</v>
      </c>
      <c r="L22" s="172">
        <f t="shared" si="1"/>
        <v>1471.11</v>
      </c>
      <c r="M22" s="172">
        <f>'A.0_Tablas salariales SC'!$AA$10</f>
        <v>450</v>
      </c>
      <c r="N22" s="172">
        <f t="shared" si="2"/>
        <v>0</v>
      </c>
      <c r="O22" s="172"/>
      <c r="P22" s="172">
        <v>0</v>
      </c>
      <c r="Q22" s="172">
        <f t="shared" si="3"/>
        <v>22516.65</v>
      </c>
      <c r="R22" s="172">
        <f>'A.0_Tablas salariales SC'!$X$10</f>
        <v>115.69</v>
      </c>
      <c r="S22" s="172">
        <f>'A.0_Tablas salariales SC'!$W$10</f>
        <v>34.71</v>
      </c>
      <c r="T22" s="172"/>
      <c r="U22" s="172">
        <f t="shared" si="8"/>
        <v>1804.8</v>
      </c>
      <c r="V22" s="172">
        <f t="shared" si="4"/>
        <v>24321.45</v>
      </c>
      <c r="W22" s="172">
        <f t="shared" si="5"/>
        <v>24321.45</v>
      </c>
      <c r="X22" s="173">
        <v>0.34599999999999997</v>
      </c>
      <c r="Y22" s="172">
        <f t="shared" si="6"/>
        <v>8415.2217000000001</v>
      </c>
      <c r="Z22" s="172">
        <f t="shared" si="7"/>
        <v>32736.671699999999</v>
      </c>
      <c r="AA22" s="166"/>
    </row>
    <row r="23" spans="1:27">
      <c r="A23" s="159">
        <v>1</v>
      </c>
      <c r="B23" s="51" t="s">
        <v>227</v>
      </c>
      <c r="C23" s="51" t="s">
        <v>34</v>
      </c>
      <c r="D23" s="51"/>
      <c r="E23" s="151">
        <v>38749</v>
      </c>
      <c r="F23" s="170">
        <f>'A.1.0_TablaAntigüedad_Sub'!K23</f>
        <v>23</v>
      </c>
      <c r="G23" s="51"/>
      <c r="H23" s="171">
        <v>1</v>
      </c>
      <c r="I23" s="172">
        <f>'A.0_Tablas salariales SC'!$V$10</f>
        <v>1190.32</v>
      </c>
      <c r="J23" s="172">
        <f>'A.1.0_TablaAntigüedad_Sub'!V23</f>
        <v>343.31</v>
      </c>
      <c r="K23" s="172">
        <f t="shared" si="0"/>
        <v>1533.6299999999999</v>
      </c>
      <c r="L23" s="172">
        <f t="shared" si="1"/>
        <v>1533.6299999999999</v>
      </c>
      <c r="M23" s="172">
        <f>'A.0_Tablas salariales SC'!$AA$10</f>
        <v>450</v>
      </c>
      <c r="N23" s="172">
        <f t="shared" si="2"/>
        <v>0</v>
      </c>
      <c r="O23" s="172"/>
      <c r="P23" s="172">
        <v>0</v>
      </c>
      <c r="Q23" s="172">
        <f t="shared" si="3"/>
        <v>23454.45</v>
      </c>
      <c r="R23" s="172">
        <f>'A.0_Tablas salariales SC'!$X$10</f>
        <v>115.69</v>
      </c>
      <c r="S23" s="172">
        <f>'A.0_Tablas salariales SC'!$W$10</f>
        <v>34.71</v>
      </c>
      <c r="T23" s="172"/>
      <c r="U23" s="172">
        <f t="shared" si="8"/>
        <v>1804.8</v>
      </c>
      <c r="V23" s="172">
        <f t="shared" si="4"/>
        <v>25259.25</v>
      </c>
      <c r="W23" s="172">
        <f t="shared" si="5"/>
        <v>25259.25</v>
      </c>
      <c r="X23" s="173">
        <v>0.34599999999999997</v>
      </c>
      <c r="Y23" s="172">
        <f t="shared" si="6"/>
        <v>8739.700499999999</v>
      </c>
      <c r="Z23" s="172">
        <f t="shared" si="7"/>
        <v>33998.950499999999</v>
      </c>
      <c r="AA23" s="166"/>
    </row>
    <row r="24" spans="1:27">
      <c r="A24" s="159">
        <v>1</v>
      </c>
      <c r="B24" s="51" t="s">
        <v>227</v>
      </c>
      <c r="C24" s="51" t="s">
        <v>228</v>
      </c>
      <c r="D24" s="51"/>
      <c r="E24" s="151">
        <v>38749</v>
      </c>
      <c r="F24" s="170">
        <f>'A.1.0_TablaAntigüedad_Sub'!K24</f>
        <v>23</v>
      </c>
      <c r="G24" s="51"/>
      <c r="H24" s="171">
        <v>1</v>
      </c>
      <c r="I24" s="172">
        <f>'A.0_Tablas salariales SC'!$V$10</f>
        <v>1190.32</v>
      </c>
      <c r="J24" s="172">
        <f>'A.1.0_TablaAntigüedad_Sub'!V24</f>
        <v>343.31</v>
      </c>
      <c r="K24" s="172">
        <f t="shared" si="0"/>
        <v>1533.6299999999999</v>
      </c>
      <c r="L24" s="172">
        <f t="shared" si="1"/>
        <v>1533.6299999999999</v>
      </c>
      <c r="M24" s="172">
        <f>'A.0_Tablas salariales SC'!$AA$10</f>
        <v>450</v>
      </c>
      <c r="N24" s="172">
        <f t="shared" si="2"/>
        <v>0</v>
      </c>
      <c r="O24" s="172"/>
      <c r="P24" s="172">
        <v>0</v>
      </c>
      <c r="Q24" s="172">
        <f t="shared" si="3"/>
        <v>23454.45</v>
      </c>
      <c r="R24" s="172">
        <f>'A.0_Tablas salariales SC'!$X$10</f>
        <v>115.69</v>
      </c>
      <c r="S24" s="172">
        <f>'A.0_Tablas salariales SC'!$W$10</f>
        <v>34.71</v>
      </c>
      <c r="T24" s="172"/>
      <c r="U24" s="172">
        <f t="shared" si="8"/>
        <v>1804.8</v>
      </c>
      <c r="V24" s="172">
        <f t="shared" si="4"/>
        <v>25259.25</v>
      </c>
      <c r="W24" s="172">
        <f t="shared" si="5"/>
        <v>25259.25</v>
      </c>
      <c r="X24" s="173">
        <v>0.34599999999999997</v>
      </c>
      <c r="Y24" s="172">
        <f t="shared" si="6"/>
        <v>8739.700499999999</v>
      </c>
      <c r="Z24" s="172">
        <f t="shared" si="7"/>
        <v>33998.950499999999</v>
      </c>
      <c r="AA24" s="166"/>
    </row>
    <row r="25" spans="1:27">
      <c r="A25" s="159">
        <v>1</v>
      </c>
      <c r="B25" s="51" t="s">
        <v>227</v>
      </c>
      <c r="C25" s="51" t="s">
        <v>34</v>
      </c>
      <c r="D25" s="51"/>
      <c r="E25" s="151">
        <v>35827</v>
      </c>
      <c r="F25" s="170">
        <f>'A.1.0_TablaAntigüedad_Sub'!K25</f>
        <v>31</v>
      </c>
      <c r="G25" s="51"/>
      <c r="H25" s="171">
        <v>0.33</v>
      </c>
      <c r="I25" s="172">
        <f>'A.0_Tablas salariales SC'!$V$10</f>
        <v>1190.32</v>
      </c>
      <c r="J25" s="172">
        <f>'A.1.0_TablaAntigüedad_Sub'!V25</f>
        <v>421.15</v>
      </c>
      <c r="K25" s="172">
        <f t="shared" si="0"/>
        <v>1611.4699999999998</v>
      </c>
      <c r="L25" s="172">
        <f t="shared" si="1"/>
        <v>1611.4699999999998</v>
      </c>
      <c r="M25" s="172">
        <f>'A.0_Tablas salariales SC'!$AA$10</f>
        <v>450</v>
      </c>
      <c r="N25" s="172">
        <f t="shared" si="2"/>
        <v>0</v>
      </c>
      <c r="O25" s="172"/>
      <c r="P25" s="172">
        <v>0</v>
      </c>
      <c r="Q25" s="172">
        <f t="shared" si="3"/>
        <v>24622.05</v>
      </c>
      <c r="R25" s="172">
        <f>'A.0_Tablas salariales SC'!$X$10</f>
        <v>115.69</v>
      </c>
      <c r="S25" s="172">
        <f>'A.0_Tablas salariales SC'!$W$10</f>
        <v>34.71</v>
      </c>
      <c r="T25" s="172"/>
      <c r="U25" s="172">
        <f t="shared" si="8"/>
        <v>1804.8</v>
      </c>
      <c r="V25" s="172">
        <f t="shared" si="4"/>
        <v>26426.85</v>
      </c>
      <c r="W25" s="172">
        <f t="shared" si="5"/>
        <v>8720.8605000000007</v>
      </c>
      <c r="X25" s="173">
        <v>0.34599999999999997</v>
      </c>
      <c r="Y25" s="172">
        <f t="shared" si="6"/>
        <v>3017.4177330000002</v>
      </c>
      <c r="Z25" s="172">
        <f t="shared" si="7"/>
        <v>11738.278233000001</v>
      </c>
      <c r="AA25" s="166"/>
    </row>
    <row r="26" spans="1:27">
      <c r="A26" s="159">
        <v>1</v>
      </c>
      <c r="B26" s="51" t="s">
        <v>227</v>
      </c>
      <c r="C26" s="51" t="s">
        <v>34</v>
      </c>
      <c r="D26" s="51"/>
      <c r="E26" s="151">
        <v>38749</v>
      </c>
      <c r="F26" s="170">
        <f>'A.1.0_TablaAntigüedad_Sub'!K26</f>
        <v>23</v>
      </c>
      <c r="G26" s="51"/>
      <c r="H26" s="171">
        <v>1</v>
      </c>
      <c r="I26" s="172">
        <f>'A.0_Tablas salariales SC'!$V$10</f>
        <v>1190.32</v>
      </c>
      <c r="J26" s="172">
        <f>'A.1.0_TablaAntigüedad_Sub'!V26</f>
        <v>343.31</v>
      </c>
      <c r="K26" s="172">
        <f t="shared" si="0"/>
        <v>1533.6299999999999</v>
      </c>
      <c r="L26" s="172">
        <f t="shared" si="1"/>
        <v>1533.6299999999999</v>
      </c>
      <c r="M26" s="172">
        <f>'A.0_Tablas salariales SC'!$AA$10</f>
        <v>450</v>
      </c>
      <c r="N26" s="172">
        <f t="shared" si="2"/>
        <v>0</v>
      </c>
      <c r="O26" s="172"/>
      <c r="P26" s="172">
        <v>0</v>
      </c>
      <c r="Q26" s="172">
        <f t="shared" si="3"/>
        <v>23454.45</v>
      </c>
      <c r="R26" s="172">
        <f>'A.0_Tablas salariales SC'!$X$10</f>
        <v>115.69</v>
      </c>
      <c r="S26" s="172">
        <f>'A.0_Tablas salariales SC'!$W$10</f>
        <v>34.71</v>
      </c>
      <c r="T26" s="172"/>
      <c r="U26" s="172">
        <f t="shared" si="8"/>
        <v>1804.8</v>
      </c>
      <c r="V26" s="172">
        <f t="shared" si="4"/>
        <v>25259.25</v>
      </c>
      <c r="W26" s="172">
        <f t="shared" si="5"/>
        <v>25259.25</v>
      </c>
      <c r="X26" s="173">
        <v>0.34599999999999997</v>
      </c>
      <c r="Y26" s="172">
        <f t="shared" si="6"/>
        <v>8739.700499999999</v>
      </c>
      <c r="Z26" s="172">
        <f t="shared" si="7"/>
        <v>33998.950499999999</v>
      </c>
      <c r="AA26" s="166"/>
    </row>
    <row r="27" spans="1:27">
      <c r="A27" s="159">
        <v>1</v>
      </c>
      <c r="B27" s="51" t="s">
        <v>227</v>
      </c>
      <c r="C27" s="51" t="s">
        <v>228</v>
      </c>
      <c r="D27" s="51"/>
      <c r="E27" s="151">
        <v>38932</v>
      </c>
      <c r="F27" s="170">
        <f>'A.1.0_TablaAntigüedad_Sub'!K27</f>
        <v>23</v>
      </c>
      <c r="G27" s="51"/>
      <c r="H27" s="171">
        <v>1</v>
      </c>
      <c r="I27" s="172">
        <f>'A.0_Tablas salariales SC'!$V$10</f>
        <v>1190.32</v>
      </c>
      <c r="J27" s="172">
        <f>'A.1.0_TablaAntigüedad_Sub'!V27</f>
        <v>343.31</v>
      </c>
      <c r="K27" s="172">
        <f t="shared" ref="K27:K63" si="9">I27+J27</f>
        <v>1533.6299999999999</v>
      </c>
      <c r="L27" s="172">
        <f t="shared" ref="L27:L63" si="10">I27+J27</f>
        <v>1533.6299999999999</v>
      </c>
      <c r="M27" s="172">
        <f>'A.0_Tablas salariales SC'!$AA$10</f>
        <v>450</v>
      </c>
      <c r="N27" s="172">
        <f>I27*0.25*0</f>
        <v>0</v>
      </c>
      <c r="O27" s="172"/>
      <c r="P27" s="172">
        <v>0</v>
      </c>
      <c r="Q27" s="172">
        <f t="shared" si="3"/>
        <v>23454.45</v>
      </c>
      <c r="R27" s="172">
        <f>'A.0_Tablas salariales SC'!$X$10</f>
        <v>115.69</v>
      </c>
      <c r="S27" s="172">
        <f>'A.0_Tablas salariales SC'!$W$10</f>
        <v>34.71</v>
      </c>
      <c r="T27" s="172"/>
      <c r="U27" s="172">
        <f t="shared" si="8"/>
        <v>1804.8</v>
      </c>
      <c r="V27" s="172">
        <f t="shared" ref="V27:V63" si="11">+Q27+U27</f>
        <v>25259.25</v>
      </c>
      <c r="W27" s="172">
        <f t="shared" si="5"/>
        <v>25259.25</v>
      </c>
      <c r="X27" s="173">
        <v>0.34599999999999997</v>
      </c>
      <c r="Y27" s="172">
        <f t="shared" si="6"/>
        <v>8739.700499999999</v>
      </c>
      <c r="Z27" s="172">
        <f t="shared" si="7"/>
        <v>33998.950499999999</v>
      </c>
      <c r="AA27" s="166"/>
    </row>
    <row r="28" spans="1:27">
      <c r="A28" s="159">
        <v>1</v>
      </c>
      <c r="B28" s="51" t="s">
        <v>227</v>
      </c>
      <c r="C28" s="51" t="s">
        <v>228</v>
      </c>
      <c r="D28" s="51"/>
      <c r="E28" s="151">
        <v>38749</v>
      </c>
      <c r="F28" s="170">
        <f>'A.1.0_TablaAntigüedad_Sub'!K28</f>
        <v>23</v>
      </c>
      <c r="G28" s="51"/>
      <c r="H28" s="171">
        <v>1</v>
      </c>
      <c r="I28" s="172">
        <f>'A.0_Tablas salariales SC'!$V$10</f>
        <v>1190.32</v>
      </c>
      <c r="J28" s="172">
        <f>'A.1.0_TablaAntigüedad_Sub'!V28</f>
        <v>343.31</v>
      </c>
      <c r="K28" s="172">
        <f t="shared" si="9"/>
        <v>1533.6299999999999</v>
      </c>
      <c r="L28" s="172">
        <f t="shared" si="10"/>
        <v>1533.6299999999999</v>
      </c>
      <c r="M28" s="172">
        <f>'A.0_Tablas salariales SC'!$AA$10</f>
        <v>450</v>
      </c>
      <c r="N28" s="172">
        <f>I28*0.25*1</f>
        <v>297.58</v>
      </c>
      <c r="O28" s="172"/>
      <c r="P28" s="172">
        <v>0</v>
      </c>
      <c r="Q28" s="172">
        <f t="shared" si="3"/>
        <v>27025.41</v>
      </c>
      <c r="R28" s="172">
        <f>'A.0_Tablas salariales SC'!$X$10</f>
        <v>115.69</v>
      </c>
      <c r="S28" s="172">
        <f>'A.0_Tablas salariales SC'!$W$10</f>
        <v>34.71</v>
      </c>
      <c r="T28" s="172"/>
      <c r="U28" s="172">
        <f t="shared" ref="U28:U45" si="12">(R28*R$4)+(S28*S$4)+T28</f>
        <v>1804.8</v>
      </c>
      <c r="V28" s="172">
        <f t="shared" si="11"/>
        <v>28830.21</v>
      </c>
      <c r="W28" s="172">
        <f t="shared" si="5"/>
        <v>28830.21</v>
      </c>
      <c r="X28" s="173">
        <v>0.34599999999999997</v>
      </c>
      <c r="Y28" s="172">
        <f t="shared" si="6"/>
        <v>9975.2526599999983</v>
      </c>
      <c r="Z28" s="172">
        <f t="shared" si="7"/>
        <v>38805.462659999997</v>
      </c>
      <c r="AA28" s="166"/>
    </row>
    <row r="29" spans="1:27">
      <c r="A29" s="159">
        <v>1</v>
      </c>
      <c r="B29" s="51" t="s">
        <v>227</v>
      </c>
      <c r="C29" s="51" t="s">
        <v>34</v>
      </c>
      <c r="D29" s="51"/>
      <c r="E29" s="151">
        <v>38749</v>
      </c>
      <c r="F29" s="170">
        <f>'A.1.0_TablaAntigüedad_Sub'!K29</f>
        <v>23</v>
      </c>
      <c r="G29" s="51"/>
      <c r="H29" s="171">
        <v>0.6</v>
      </c>
      <c r="I29" s="172">
        <f>'A.0_Tablas salariales SC'!$V$10</f>
        <v>1190.32</v>
      </c>
      <c r="J29" s="172">
        <f>'A.1.0_TablaAntigüedad_Sub'!V29</f>
        <v>343.31</v>
      </c>
      <c r="K29" s="172">
        <f t="shared" si="9"/>
        <v>1533.6299999999999</v>
      </c>
      <c r="L29" s="172">
        <f t="shared" si="10"/>
        <v>1533.6299999999999</v>
      </c>
      <c r="M29" s="172">
        <f>'A.0_Tablas salariales SC'!$AA$10</f>
        <v>450</v>
      </c>
      <c r="N29" s="172">
        <f t="shared" ref="N29:N45" si="13">I29*0.25*0</f>
        <v>0</v>
      </c>
      <c r="O29" s="172"/>
      <c r="P29" s="172">
        <v>0</v>
      </c>
      <c r="Q29" s="172">
        <f t="shared" si="3"/>
        <v>23454.45</v>
      </c>
      <c r="R29" s="172">
        <f>'A.0_Tablas salariales SC'!$X$10</f>
        <v>115.69</v>
      </c>
      <c r="S29" s="172">
        <f>'A.0_Tablas salariales SC'!$W$10</f>
        <v>34.71</v>
      </c>
      <c r="T29" s="172"/>
      <c r="U29" s="172">
        <f t="shared" si="12"/>
        <v>1804.8</v>
      </c>
      <c r="V29" s="172">
        <f t="shared" si="11"/>
        <v>25259.25</v>
      </c>
      <c r="W29" s="172">
        <f t="shared" si="5"/>
        <v>15155.55</v>
      </c>
      <c r="X29" s="173">
        <v>0.34599999999999997</v>
      </c>
      <c r="Y29" s="172">
        <f t="shared" si="6"/>
        <v>5243.8202999999994</v>
      </c>
      <c r="Z29" s="172">
        <f t="shared" si="7"/>
        <v>20399.370299999999</v>
      </c>
      <c r="AA29" s="166"/>
    </row>
    <row r="30" spans="1:27">
      <c r="A30" s="159">
        <v>1</v>
      </c>
      <c r="B30" s="51" t="s">
        <v>227</v>
      </c>
      <c r="C30" s="51" t="s">
        <v>34</v>
      </c>
      <c r="D30" s="51"/>
      <c r="E30" s="151">
        <v>38932</v>
      </c>
      <c r="F30" s="170">
        <f>'A.1.0_TablaAntigüedad_Sub'!K30</f>
        <v>23</v>
      </c>
      <c r="G30" s="51"/>
      <c r="H30" s="171">
        <v>1</v>
      </c>
      <c r="I30" s="172">
        <f>'A.0_Tablas salariales SC'!$V$10</f>
        <v>1190.32</v>
      </c>
      <c r="J30" s="172">
        <f>'A.1.0_TablaAntigüedad_Sub'!V30</f>
        <v>343.31</v>
      </c>
      <c r="K30" s="172">
        <f t="shared" si="9"/>
        <v>1533.6299999999999</v>
      </c>
      <c r="L30" s="172">
        <f t="shared" si="10"/>
        <v>1533.6299999999999</v>
      </c>
      <c r="M30" s="172">
        <f>'A.0_Tablas salariales SC'!$AA$10</f>
        <v>450</v>
      </c>
      <c r="N30" s="172">
        <f t="shared" si="13"/>
        <v>0</v>
      </c>
      <c r="O30" s="172"/>
      <c r="P30" s="172">
        <v>0</v>
      </c>
      <c r="Q30" s="172">
        <f t="shared" si="3"/>
        <v>23454.45</v>
      </c>
      <c r="R30" s="172">
        <f>'A.0_Tablas salariales SC'!$X$10</f>
        <v>115.69</v>
      </c>
      <c r="S30" s="172">
        <f>'A.0_Tablas salariales SC'!$W$10</f>
        <v>34.71</v>
      </c>
      <c r="T30" s="172"/>
      <c r="U30" s="172">
        <f t="shared" si="12"/>
        <v>1804.8</v>
      </c>
      <c r="V30" s="172">
        <f t="shared" si="11"/>
        <v>25259.25</v>
      </c>
      <c r="W30" s="172">
        <f t="shared" si="5"/>
        <v>25259.25</v>
      </c>
      <c r="X30" s="173">
        <v>0.34599999999999997</v>
      </c>
      <c r="Y30" s="172">
        <f t="shared" si="6"/>
        <v>8739.700499999999</v>
      </c>
      <c r="Z30" s="172">
        <f t="shared" si="7"/>
        <v>33998.950499999999</v>
      </c>
      <c r="AA30" s="166"/>
    </row>
    <row r="31" spans="1:27">
      <c r="A31" s="159">
        <v>1</v>
      </c>
      <c r="B31" s="51" t="s">
        <v>227</v>
      </c>
      <c r="C31" s="51" t="s">
        <v>34</v>
      </c>
      <c r="D31" s="51"/>
      <c r="E31" s="151">
        <v>42036</v>
      </c>
      <c r="F31" s="170">
        <f>'A.1.0_TablaAntigüedad_Sub'!K31</f>
        <v>14</v>
      </c>
      <c r="G31" s="51"/>
      <c r="H31" s="171">
        <v>1</v>
      </c>
      <c r="I31" s="172">
        <f>'A.0_Tablas salariales SC'!$V$10</f>
        <v>1190.32</v>
      </c>
      <c r="J31" s="172">
        <f>'A.1.0_TablaAntigüedad_Sub'!V31</f>
        <v>175.53</v>
      </c>
      <c r="K31" s="172">
        <f t="shared" si="9"/>
        <v>1365.85</v>
      </c>
      <c r="L31" s="172">
        <f t="shared" si="10"/>
        <v>1365.85</v>
      </c>
      <c r="M31" s="172">
        <f>'A.0_Tablas salariales SC'!$AA$10</f>
        <v>450</v>
      </c>
      <c r="N31" s="172">
        <f t="shared" si="13"/>
        <v>0</v>
      </c>
      <c r="O31" s="172"/>
      <c r="P31" s="172">
        <v>0</v>
      </c>
      <c r="Q31" s="172">
        <f t="shared" si="3"/>
        <v>20937.75</v>
      </c>
      <c r="R31" s="172">
        <f>'A.0_Tablas salariales SC'!$X$10</f>
        <v>115.69</v>
      </c>
      <c r="S31" s="172">
        <f>'A.0_Tablas salariales SC'!$W$10</f>
        <v>34.71</v>
      </c>
      <c r="T31" s="172"/>
      <c r="U31" s="172">
        <f t="shared" si="12"/>
        <v>1804.8</v>
      </c>
      <c r="V31" s="172">
        <f t="shared" si="11"/>
        <v>22742.55</v>
      </c>
      <c r="W31" s="172">
        <f t="shared" si="5"/>
        <v>22742.55</v>
      </c>
      <c r="X31" s="173">
        <v>0.34599999999999997</v>
      </c>
      <c r="Y31" s="172">
        <f t="shared" si="6"/>
        <v>7868.9222999999993</v>
      </c>
      <c r="Z31" s="172">
        <f t="shared" si="7"/>
        <v>30611.472299999998</v>
      </c>
      <c r="AA31" s="166"/>
    </row>
    <row r="32" spans="1:27">
      <c r="A32" s="159">
        <v>1</v>
      </c>
      <c r="B32" s="51" t="s">
        <v>227</v>
      </c>
      <c r="C32" s="51" t="s">
        <v>34</v>
      </c>
      <c r="D32" s="51"/>
      <c r="E32" s="151">
        <v>38749</v>
      </c>
      <c r="F32" s="170">
        <f>'A.1.0_TablaAntigüedad_Sub'!K32</f>
        <v>23</v>
      </c>
      <c r="G32" s="51"/>
      <c r="H32" s="171">
        <v>1</v>
      </c>
      <c r="I32" s="172">
        <f>'A.0_Tablas salariales SC'!$V$10</f>
        <v>1190.32</v>
      </c>
      <c r="J32" s="172">
        <f>'A.1.0_TablaAntigüedad_Sub'!V32</f>
        <v>343.31</v>
      </c>
      <c r="K32" s="172">
        <f t="shared" si="9"/>
        <v>1533.6299999999999</v>
      </c>
      <c r="L32" s="172">
        <f t="shared" si="10"/>
        <v>1533.6299999999999</v>
      </c>
      <c r="M32" s="172">
        <f>'A.0_Tablas salariales SC'!$AA$10</f>
        <v>450</v>
      </c>
      <c r="N32" s="172">
        <f t="shared" si="13"/>
        <v>0</v>
      </c>
      <c r="O32" s="172"/>
      <c r="P32" s="172">
        <v>0</v>
      </c>
      <c r="Q32" s="172">
        <f t="shared" si="3"/>
        <v>23454.45</v>
      </c>
      <c r="R32" s="172">
        <f>'A.0_Tablas salariales SC'!$X$10</f>
        <v>115.69</v>
      </c>
      <c r="S32" s="172">
        <f>'A.0_Tablas salariales SC'!$W$10</f>
        <v>34.71</v>
      </c>
      <c r="T32" s="172"/>
      <c r="U32" s="172">
        <f t="shared" si="12"/>
        <v>1804.8</v>
      </c>
      <c r="V32" s="172">
        <f t="shared" si="11"/>
        <v>25259.25</v>
      </c>
      <c r="W32" s="172">
        <f t="shared" si="5"/>
        <v>25259.25</v>
      </c>
      <c r="X32" s="173">
        <v>0.34599999999999997</v>
      </c>
      <c r="Y32" s="172">
        <f t="shared" si="6"/>
        <v>8739.700499999999</v>
      </c>
      <c r="Z32" s="172">
        <f t="shared" si="7"/>
        <v>33998.950499999999</v>
      </c>
      <c r="AA32" s="166"/>
    </row>
    <row r="33" spans="1:27">
      <c r="A33" s="159">
        <v>1</v>
      </c>
      <c r="B33" s="51" t="s">
        <v>227</v>
      </c>
      <c r="C33" s="51" t="s">
        <v>34</v>
      </c>
      <c r="D33" s="51"/>
      <c r="E33" s="151">
        <v>40250</v>
      </c>
      <c r="F33" s="170">
        <f>'A.1.0_TablaAntigüedad_Sub'!K33</f>
        <v>19</v>
      </c>
      <c r="G33" s="51"/>
      <c r="H33" s="171">
        <v>1</v>
      </c>
      <c r="I33" s="172">
        <f>'A.0_Tablas salariales SC'!$V$10</f>
        <v>1190.32</v>
      </c>
      <c r="J33" s="172">
        <f>'A.1.0_TablaAntigüedad_Sub'!V33</f>
        <v>264.41000000000003</v>
      </c>
      <c r="K33" s="172">
        <f t="shared" si="9"/>
        <v>1454.73</v>
      </c>
      <c r="L33" s="172">
        <f t="shared" si="10"/>
        <v>1454.73</v>
      </c>
      <c r="M33" s="172">
        <f>'A.0_Tablas salariales SC'!$AA$10</f>
        <v>450</v>
      </c>
      <c r="N33" s="172">
        <f t="shared" si="13"/>
        <v>0</v>
      </c>
      <c r="O33" s="172"/>
      <c r="P33" s="172">
        <v>0</v>
      </c>
      <c r="Q33" s="172">
        <f t="shared" si="3"/>
        <v>22270.95</v>
      </c>
      <c r="R33" s="172">
        <f>'A.0_Tablas salariales SC'!$X$10</f>
        <v>115.69</v>
      </c>
      <c r="S33" s="172">
        <f>'A.0_Tablas salariales SC'!$W$10</f>
        <v>34.71</v>
      </c>
      <c r="T33" s="172"/>
      <c r="U33" s="172">
        <f t="shared" si="12"/>
        <v>1804.8</v>
      </c>
      <c r="V33" s="172">
        <f t="shared" si="11"/>
        <v>24075.75</v>
      </c>
      <c r="W33" s="172">
        <f t="shared" si="5"/>
        <v>24075.75</v>
      </c>
      <c r="X33" s="173">
        <v>0.34599999999999997</v>
      </c>
      <c r="Y33" s="172">
        <f t="shared" si="6"/>
        <v>8330.209499999999</v>
      </c>
      <c r="Z33" s="172">
        <f t="shared" si="7"/>
        <v>32405.959499999997</v>
      </c>
      <c r="AA33" s="166"/>
    </row>
    <row r="34" spans="1:27">
      <c r="A34" s="159">
        <v>1</v>
      </c>
      <c r="B34" s="51" t="s">
        <v>227</v>
      </c>
      <c r="C34" s="51" t="s">
        <v>34</v>
      </c>
      <c r="D34" s="51"/>
      <c r="E34" s="151">
        <v>39038</v>
      </c>
      <c r="F34" s="170">
        <f>'A.1.0_TablaAntigüedad_Sub'!K34</f>
        <v>23</v>
      </c>
      <c r="G34" s="51"/>
      <c r="H34" s="171">
        <v>1</v>
      </c>
      <c r="I34" s="172">
        <f>'A.0_Tablas salariales SC'!$V$10</f>
        <v>1190.32</v>
      </c>
      <c r="J34" s="172">
        <f>'A.1.0_TablaAntigüedad_Sub'!V34</f>
        <v>343.31</v>
      </c>
      <c r="K34" s="172">
        <f t="shared" si="9"/>
        <v>1533.6299999999999</v>
      </c>
      <c r="L34" s="172">
        <f t="shared" si="10"/>
        <v>1533.6299999999999</v>
      </c>
      <c r="M34" s="172">
        <f>'A.0_Tablas salariales SC'!$AA$10</f>
        <v>450</v>
      </c>
      <c r="N34" s="172">
        <f t="shared" si="13"/>
        <v>0</v>
      </c>
      <c r="O34" s="172"/>
      <c r="P34" s="172">
        <v>0</v>
      </c>
      <c r="Q34" s="172">
        <f t="shared" si="3"/>
        <v>23454.45</v>
      </c>
      <c r="R34" s="172">
        <f>'A.0_Tablas salariales SC'!$X$10</f>
        <v>115.69</v>
      </c>
      <c r="S34" s="172">
        <f>'A.0_Tablas salariales SC'!$W$10</f>
        <v>34.71</v>
      </c>
      <c r="T34" s="172"/>
      <c r="U34" s="172">
        <f t="shared" si="12"/>
        <v>1804.8</v>
      </c>
      <c r="V34" s="172">
        <f t="shared" si="11"/>
        <v>25259.25</v>
      </c>
      <c r="W34" s="172">
        <f t="shared" si="5"/>
        <v>25259.25</v>
      </c>
      <c r="X34" s="173">
        <v>0.34599999999999997</v>
      </c>
      <c r="Y34" s="172">
        <f t="shared" si="6"/>
        <v>8739.700499999999</v>
      </c>
      <c r="Z34" s="172">
        <f t="shared" si="7"/>
        <v>33998.950499999999</v>
      </c>
      <c r="AA34" s="166"/>
    </row>
    <row r="35" spans="1:27">
      <c r="A35" s="159">
        <v>1</v>
      </c>
      <c r="B35" s="51" t="s">
        <v>227</v>
      </c>
      <c r="C35" s="51" t="s">
        <v>34</v>
      </c>
      <c r="D35" s="51"/>
      <c r="E35" s="151">
        <v>39663</v>
      </c>
      <c r="F35" s="170">
        <f>'A.1.0_TablaAntigüedad_Sub'!K35</f>
        <v>21</v>
      </c>
      <c r="G35" s="51"/>
      <c r="H35" s="171">
        <v>1</v>
      </c>
      <c r="I35" s="172">
        <f>'A.0_Tablas salariales SC'!$V$10</f>
        <v>1190.32</v>
      </c>
      <c r="J35" s="172">
        <f>'A.1.0_TablaAntigüedad_Sub'!V35</f>
        <v>280.79000000000002</v>
      </c>
      <c r="K35" s="172">
        <f t="shared" si="9"/>
        <v>1471.11</v>
      </c>
      <c r="L35" s="172">
        <f t="shared" si="10"/>
        <v>1471.11</v>
      </c>
      <c r="M35" s="172">
        <f>'A.0_Tablas salariales SC'!$AA$10</f>
        <v>450</v>
      </c>
      <c r="N35" s="172">
        <f t="shared" si="13"/>
        <v>0</v>
      </c>
      <c r="O35" s="172"/>
      <c r="P35" s="172">
        <v>0</v>
      </c>
      <c r="Q35" s="172">
        <f t="shared" si="3"/>
        <v>22516.65</v>
      </c>
      <c r="R35" s="172">
        <f>'A.0_Tablas salariales SC'!$X$10</f>
        <v>115.69</v>
      </c>
      <c r="S35" s="172">
        <f>'A.0_Tablas salariales SC'!$W$10</f>
        <v>34.71</v>
      </c>
      <c r="T35" s="172"/>
      <c r="U35" s="172">
        <f t="shared" si="12"/>
        <v>1804.8</v>
      </c>
      <c r="V35" s="172">
        <f t="shared" si="11"/>
        <v>24321.45</v>
      </c>
      <c r="W35" s="172">
        <f t="shared" si="5"/>
        <v>24321.45</v>
      </c>
      <c r="X35" s="173">
        <v>0.34599999999999997</v>
      </c>
      <c r="Y35" s="172">
        <f t="shared" si="6"/>
        <v>8415.2217000000001</v>
      </c>
      <c r="Z35" s="172">
        <f t="shared" si="7"/>
        <v>32736.671699999999</v>
      </c>
      <c r="AA35" s="166"/>
    </row>
    <row r="36" spans="1:27">
      <c r="A36" s="159">
        <v>1</v>
      </c>
      <c r="B36" s="51" t="s">
        <v>227</v>
      </c>
      <c r="C36" s="51" t="s">
        <v>34</v>
      </c>
      <c r="D36" s="51"/>
      <c r="E36" s="151">
        <v>39650</v>
      </c>
      <c r="F36" s="170">
        <f>'A.1.0_TablaAntigüedad_Sub'!K36</f>
        <v>21</v>
      </c>
      <c r="G36" s="51"/>
      <c r="H36" s="171">
        <v>1</v>
      </c>
      <c r="I36" s="172">
        <f>'A.0_Tablas salariales SC'!$V$10</f>
        <v>1190.32</v>
      </c>
      <c r="J36" s="172">
        <f>'A.1.0_TablaAntigüedad_Sub'!V36</f>
        <v>280.79000000000002</v>
      </c>
      <c r="K36" s="172">
        <f t="shared" si="9"/>
        <v>1471.11</v>
      </c>
      <c r="L36" s="172">
        <f t="shared" si="10"/>
        <v>1471.11</v>
      </c>
      <c r="M36" s="172">
        <f>'A.0_Tablas salariales SC'!$AA$10</f>
        <v>450</v>
      </c>
      <c r="N36" s="172">
        <f t="shared" si="13"/>
        <v>0</v>
      </c>
      <c r="O36" s="172"/>
      <c r="P36" s="172">
        <v>0</v>
      </c>
      <c r="Q36" s="172">
        <f t="shared" si="3"/>
        <v>22516.65</v>
      </c>
      <c r="R36" s="172">
        <f>'A.0_Tablas salariales SC'!$X$10</f>
        <v>115.69</v>
      </c>
      <c r="S36" s="172">
        <f>'A.0_Tablas salariales SC'!$W$10</f>
        <v>34.71</v>
      </c>
      <c r="T36" s="172"/>
      <c r="U36" s="172">
        <f t="shared" si="12"/>
        <v>1804.8</v>
      </c>
      <c r="V36" s="172">
        <f t="shared" si="11"/>
        <v>24321.45</v>
      </c>
      <c r="W36" s="172">
        <f t="shared" si="5"/>
        <v>24321.45</v>
      </c>
      <c r="X36" s="173">
        <v>0.34599999999999997</v>
      </c>
      <c r="Y36" s="172">
        <f t="shared" si="6"/>
        <v>8415.2217000000001</v>
      </c>
      <c r="Z36" s="172">
        <f t="shared" si="7"/>
        <v>32736.671699999999</v>
      </c>
      <c r="AA36" s="166"/>
    </row>
    <row r="37" spans="1:27">
      <c r="A37" s="159">
        <v>1</v>
      </c>
      <c r="B37" s="51" t="s">
        <v>227</v>
      </c>
      <c r="C37" s="51" t="s">
        <v>34</v>
      </c>
      <c r="D37" s="51"/>
      <c r="E37" s="151">
        <v>38749</v>
      </c>
      <c r="F37" s="170">
        <f>'A.1.0_TablaAntigüedad_Sub'!K37</f>
        <v>23</v>
      </c>
      <c r="G37" s="51"/>
      <c r="H37" s="171">
        <v>1</v>
      </c>
      <c r="I37" s="172">
        <f>'A.0_Tablas salariales SC'!$V$10</f>
        <v>1190.32</v>
      </c>
      <c r="J37" s="172">
        <f>'A.1.0_TablaAntigüedad_Sub'!V37</f>
        <v>343.31</v>
      </c>
      <c r="K37" s="172">
        <f t="shared" si="9"/>
        <v>1533.6299999999999</v>
      </c>
      <c r="L37" s="172">
        <f t="shared" si="10"/>
        <v>1533.6299999999999</v>
      </c>
      <c r="M37" s="172">
        <f>'A.0_Tablas salariales SC'!$AA$10</f>
        <v>450</v>
      </c>
      <c r="N37" s="172">
        <f t="shared" si="13"/>
        <v>0</v>
      </c>
      <c r="O37" s="172"/>
      <c r="P37" s="172">
        <v>0</v>
      </c>
      <c r="Q37" s="172">
        <f t="shared" si="3"/>
        <v>23454.45</v>
      </c>
      <c r="R37" s="172">
        <f>'A.0_Tablas salariales SC'!$X$10</f>
        <v>115.69</v>
      </c>
      <c r="S37" s="172">
        <f>'A.0_Tablas salariales SC'!$W$10</f>
        <v>34.71</v>
      </c>
      <c r="T37" s="172"/>
      <c r="U37" s="172">
        <f t="shared" si="12"/>
        <v>1804.8</v>
      </c>
      <c r="V37" s="172">
        <f t="shared" si="11"/>
        <v>25259.25</v>
      </c>
      <c r="W37" s="172">
        <f t="shared" si="5"/>
        <v>25259.25</v>
      </c>
      <c r="X37" s="173">
        <v>0.34599999999999997</v>
      </c>
      <c r="Y37" s="172">
        <f t="shared" si="6"/>
        <v>8739.700499999999</v>
      </c>
      <c r="Z37" s="172">
        <f t="shared" si="7"/>
        <v>33998.950499999999</v>
      </c>
      <c r="AA37" s="166"/>
    </row>
    <row r="38" spans="1:27">
      <c r="A38" s="159">
        <v>1</v>
      </c>
      <c r="B38" s="51" t="s">
        <v>227</v>
      </c>
      <c r="C38" s="51" t="s">
        <v>34</v>
      </c>
      <c r="D38" s="51"/>
      <c r="E38" s="151">
        <v>38749</v>
      </c>
      <c r="F38" s="170">
        <f>'A.1.0_TablaAntigüedad_Sub'!K38</f>
        <v>23</v>
      </c>
      <c r="G38" s="51"/>
      <c r="H38" s="171">
        <v>1</v>
      </c>
      <c r="I38" s="172">
        <f>'A.0_Tablas salariales SC'!$V$10</f>
        <v>1190.32</v>
      </c>
      <c r="J38" s="172">
        <f>'A.1.0_TablaAntigüedad_Sub'!V38</f>
        <v>343.31</v>
      </c>
      <c r="K38" s="172">
        <f t="shared" si="9"/>
        <v>1533.6299999999999</v>
      </c>
      <c r="L38" s="172">
        <f t="shared" si="10"/>
        <v>1533.6299999999999</v>
      </c>
      <c r="M38" s="172">
        <f>'A.0_Tablas salariales SC'!$AA$10</f>
        <v>450</v>
      </c>
      <c r="N38" s="172">
        <f t="shared" si="13"/>
        <v>0</v>
      </c>
      <c r="O38" s="172"/>
      <c r="P38" s="172">
        <v>0</v>
      </c>
      <c r="Q38" s="172">
        <f t="shared" si="3"/>
        <v>23454.45</v>
      </c>
      <c r="R38" s="172">
        <f>'A.0_Tablas salariales SC'!$X$10</f>
        <v>115.69</v>
      </c>
      <c r="S38" s="172">
        <f>'A.0_Tablas salariales SC'!$W$10</f>
        <v>34.71</v>
      </c>
      <c r="T38" s="172"/>
      <c r="U38" s="172">
        <f t="shared" si="12"/>
        <v>1804.8</v>
      </c>
      <c r="V38" s="172">
        <f t="shared" si="11"/>
        <v>25259.25</v>
      </c>
      <c r="W38" s="172">
        <f t="shared" si="5"/>
        <v>25259.25</v>
      </c>
      <c r="X38" s="173">
        <v>0.34599999999999997</v>
      </c>
      <c r="Y38" s="172">
        <f t="shared" si="6"/>
        <v>8739.700499999999</v>
      </c>
      <c r="Z38" s="172">
        <f t="shared" si="7"/>
        <v>33998.950499999999</v>
      </c>
      <c r="AA38" s="166"/>
    </row>
    <row r="39" spans="1:27">
      <c r="A39" s="159">
        <v>1</v>
      </c>
      <c r="B39" s="51" t="s">
        <v>227</v>
      </c>
      <c r="C39" s="51" t="s">
        <v>34</v>
      </c>
      <c r="D39" s="51"/>
      <c r="E39" s="151">
        <v>40196</v>
      </c>
      <c r="F39" s="170">
        <f>'A.1.0_TablaAntigüedad_Sub'!K39</f>
        <v>19</v>
      </c>
      <c r="G39" s="51"/>
      <c r="H39" s="171">
        <v>0.6</v>
      </c>
      <c r="I39" s="172">
        <f>'A.0_Tablas salariales SC'!$V$10</f>
        <v>1190.32</v>
      </c>
      <c r="J39" s="172">
        <f>'A.1.0_TablaAntigüedad_Sub'!V39</f>
        <v>264.41000000000003</v>
      </c>
      <c r="K39" s="172">
        <f t="shared" si="9"/>
        <v>1454.73</v>
      </c>
      <c r="L39" s="172">
        <f t="shared" si="10"/>
        <v>1454.73</v>
      </c>
      <c r="M39" s="172">
        <f>'A.0_Tablas salariales SC'!$AA$10</f>
        <v>450</v>
      </c>
      <c r="N39" s="172">
        <f t="shared" si="13"/>
        <v>0</v>
      </c>
      <c r="O39" s="172"/>
      <c r="P39" s="172">
        <v>0</v>
      </c>
      <c r="Q39" s="172">
        <f t="shared" si="3"/>
        <v>22270.95</v>
      </c>
      <c r="R39" s="172">
        <f>'A.0_Tablas salariales SC'!$X$10</f>
        <v>115.69</v>
      </c>
      <c r="S39" s="172">
        <f>'A.0_Tablas salariales SC'!$W$10</f>
        <v>34.71</v>
      </c>
      <c r="T39" s="172"/>
      <c r="U39" s="172">
        <f t="shared" si="12"/>
        <v>1804.8</v>
      </c>
      <c r="V39" s="172">
        <f t="shared" si="11"/>
        <v>24075.75</v>
      </c>
      <c r="W39" s="172">
        <f t="shared" si="5"/>
        <v>14445.449999999999</v>
      </c>
      <c r="X39" s="173">
        <v>0.34599999999999997</v>
      </c>
      <c r="Y39" s="172">
        <f t="shared" si="6"/>
        <v>4998.1256999999996</v>
      </c>
      <c r="Z39" s="172">
        <f t="shared" si="7"/>
        <v>19443.575699999998</v>
      </c>
      <c r="AA39" s="166"/>
    </row>
    <row r="40" spans="1:27">
      <c r="A40" s="159">
        <v>1</v>
      </c>
      <c r="B40" s="51" t="s">
        <v>227</v>
      </c>
      <c r="C40" s="51" t="s">
        <v>34</v>
      </c>
      <c r="D40" s="51"/>
      <c r="E40" s="151">
        <v>39539</v>
      </c>
      <c r="F40" s="170">
        <f>'A.1.0_TablaAntigüedad_Sub'!K40</f>
        <v>21</v>
      </c>
      <c r="G40" s="51"/>
      <c r="H40" s="171">
        <v>1</v>
      </c>
      <c r="I40" s="172">
        <f>'A.0_Tablas salariales SC'!$V$10</f>
        <v>1190.32</v>
      </c>
      <c r="J40" s="172">
        <f>'A.1.0_TablaAntigüedad_Sub'!V40</f>
        <v>280.79000000000002</v>
      </c>
      <c r="K40" s="172">
        <f t="shared" si="9"/>
        <v>1471.11</v>
      </c>
      <c r="L40" s="172">
        <f t="shared" si="10"/>
        <v>1471.11</v>
      </c>
      <c r="M40" s="172">
        <f>'A.0_Tablas salariales SC'!$AA$10</f>
        <v>450</v>
      </c>
      <c r="N40" s="172">
        <f t="shared" si="13"/>
        <v>0</v>
      </c>
      <c r="O40" s="172"/>
      <c r="P40" s="172">
        <v>0</v>
      </c>
      <c r="Q40" s="172">
        <f t="shared" si="3"/>
        <v>22516.65</v>
      </c>
      <c r="R40" s="172">
        <f>'A.0_Tablas salariales SC'!$X$10</f>
        <v>115.69</v>
      </c>
      <c r="S40" s="172">
        <f>'A.0_Tablas salariales SC'!$W$10</f>
        <v>34.71</v>
      </c>
      <c r="T40" s="172"/>
      <c r="U40" s="172">
        <f t="shared" si="12"/>
        <v>1804.8</v>
      </c>
      <c r="V40" s="172">
        <f t="shared" si="11"/>
        <v>24321.45</v>
      </c>
      <c r="W40" s="172">
        <f t="shared" si="5"/>
        <v>24321.45</v>
      </c>
      <c r="X40" s="173">
        <v>0.34599999999999997</v>
      </c>
      <c r="Y40" s="172">
        <f t="shared" si="6"/>
        <v>8415.2217000000001</v>
      </c>
      <c r="Z40" s="172">
        <f t="shared" si="7"/>
        <v>32736.671699999999</v>
      </c>
      <c r="AA40" s="166"/>
    </row>
    <row r="41" spans="1:27">
      <c r="A41" s="159">
        <v>1</v>
      </c>
      <c r="B41" s="51" t="s">
        <v>227</v>
      </c>
      <c r="C41" s="51" t="s">
        <v>34</v>
      </c>
      <c r="D41" s="51"/>
      <c r="E41" s="151">
        <v>38749</v>
      </c>
      <c r="F41" s="170">
        <f>'A.1.0_TablaAntigüedad_Sub'!K41</f>
        <v>23</v>
      </c>
      <c r="G41" s="51"/>
      <c r="H41" s="171">
        <v>1</v>
      </c>
      <c r="I41" s="172">
        <f>'A.0_Tablas salariales SC'!$V$10</f>
        <v>1190.32</v>
      </c>
      <c r="J41" s="172">
        <f>'A.1.0_TablaAntigüedad_Sub'!V41</f>
        <v>343.31</v>
      </c>
      <c r="K41" s="172">
        <f t="shared" si="9"/>
        <v>1533.6299999999999</v>
      </c>
      <c r="L41" s="172">
        <f t="shared" si="10"/>
        <v>1533.6299999999999</v>
      </c>
      <c r="M41" s="172">
        <f>'A.0_Tablas salariales SC'!$AA$10</f>
        <v>450</v>
      </c>
      <c r="N41" s="172">
        <f t="shared" si="13"/>
        <v>0</v>
      </c>
      <c r="O41" s="172"/>
      <c r="P41" s="172">
        <v>0</v>
      </c>
      <c r="Q41" s="172">
        <f t="shared" si="3"/>
        <v>23454.45</v>
      </c>
      <c r="R41" s="172">
        <f>'A.0_Tablas salariales SC'!$X$10</f>
        <v>115.69</v>
      </c>
      <c r="S41" s="172">
        <f>'A.0_Tablas salariales SC'!$W$10</f>
        <v>34.71</v>
      </c>
      <c r="T41" s="172"/>
      <c r="U41" s="172">
        <f t="shared" si="12"/>
        <v>1804.8</v>
      </c>
      <c r="V41" s="172">
        <f t="shared" si="11"/>
        <v>25259.25</v>
      </c>
      <c r="W41" s="172">
        <f t="shared" si="5"/>
        <v>25259.25</v>
      </c>
      <c r="X41" s="173">
        <v>0.34599999999999997</v>
      </c>
      <c r="Y41" s="172">
        <f t="shared" si="6"/>
        <v>8739.700499999999</v>
      </c>
      <c r="Z41" s="172">
        <f t="shared" si="7"/>
        <v>33998.950499999999</v>
      </c>
      <c r="AA41" s="166"/>
    </row>
    <row r="42" spans="1:27">
      <c r="A42" s="159">
        <v>1</v>
      </c>
      <c r="B42" s="51" t="s">
        <v>227</v>
      </c>
      <c r="C42" s="51" t="s">
        <v>228</v>
      </c>
      <c r="D42" s="51"/>
      <c r="E42" s="151">
        <v>38749</v>
      </c>
      <c r="F42" s="170">
        <f>'A.1.0_TablaAntigüedad_Sub'!K42</f>
        <v>23</v>
      </c>
      <c r="G42" s="51"/>
      <c r="H42" s="171">
        <v>1</v>
      </c>
      <c r="I42" s="172">
        <f>'A.0_Tablas salariales SC'!$V$10</f>
        <v>1190.32</v>
      </c>
      <c r="J42" s="172">
        <f>'A.1.0_TablaAntigüedad_Sub'!V42</f>
        <v>343.31</v>
      </c>
      <c r="K42" s="172">
        <f t="shared" si="9"/>
        <v>1533.6299999999999</v>
      </c>
      <c r="L42" s="172">
        <f t="shared" si="10"/>
        <v>1533.6299999999999</v>
      </c>
      <c r="M42" s="172">
        <f>'A.0_Tablas salariales SC'!$AA$10</f>
        <v>450</v>
      </c>
      <c r="N42" s="172">
        <f t="shared" si="13"/>
        <v>0</v>
      </c>
      <c r="O42" s="172"/>
      <c r="P42" s="172">
        <v>0</v>
      </c>
      <c r="Q42" s="172">
        <f t="shared" si="3"/>
        <v>23454.45</v>
      </c>
      <c r="R42" s="172">
        <f>'A.0_Tablas salariales SC'!$X$10</f>
        <v>115.69</v>
      </c>
      <c r="S42" s="172">
        <f>'A.0_Tablas salariales SC'!$W$10</f>
        <v>34.71</v>
      </c>
      <c r="T42" s="172"/>
      <c r="U42" s="172">
        <f t="shared" si="12"/>
        <v>1804.8</v>
      </c>
      <c r="V42" s="172">
        <f t="shared" si="11"/>
        <v>25259.25</v>
      </c>
      <c r="W42" s="172">
        <f t="shared" si="5"/>
        <v>25259.25</v>
      </c>
      <c r="X42" s="173">
        <v>0.34599999999999997</v>
      </c>
      <c r="Y42" s="172">
        <f t="shared" si="6"/>
        <v>8739.700499999999</v>
      </c>
      <c r="Z42" s="172">
        <f t="shared" si="7"/>
        <v>33998.950499999999</v>
      </c>
      <c r="AA42" s="166"/>
    </row>
    <row r="43" spans="1:27">
      <c r="A43" s="159">
        <v>1</v>
      </c>
      <c r="B43" s="51" t="s">
        <v>227</v>
      </c>
      <c r="C43" s="51" t="s">
        <v>34</v>
      </c>
      <c r="D43" s="51"/>
      <c r="E43" s="151">
        <v>35827</v>
      </c>
      <c r="F43" s="170">
        <f>'A.1.0_TablaAntigüedad_Sub'!K43</f>
        <v>31</v>
      </c>
      <c r="G43" s="51"/>
      <c r="H43" s="171">
        <v>0.33</v>
      </c>
      <c r="I43" s="172">
        <f>'A.0_Tablas salariales SC'!$V$10</f>
        <v>1190.32</v>
      </c>
      <c r="J43" s="172">
        <f>'A.1.0_TablaAntigüedad_Sub'!V43</f>
        <v>421.15</v>
      </c>
      <c r="K43" s="172">
        <f t="shared" si="9"/>
        <v>1611.4699999999998</v>
      </c>
      <c r="L43" s="172">
        <f t="shared" si="10"/>
        <v>1611.4699999999998</v>
      </c>
      <c r="M43" s="172">
        <f>'A.0_Tablas salariales SC'!$AA$10</f>
        <v>450</v>
      </c>
      <c r="N43" s="172">
        <f t="shared" si="13"/>
        <v>0</v>
      </c>
      <c r="O43" s="172"/>
      <c r="P43" s="172">
        <v>0</v>
      </c>
      <c r="Q43" s="172">
        <f t="shared" si="3"/>
        <v>24622.05</v>
      </c>
      <c r="R43" s="172">
        <f>'A.0_Tablas salariales SC'!$X$10</f>
        <v>115.69</v>
      </c>
      <c r="S43" s="172">
        <f>'A.0_Tablas salariales SC'!$W$10</f>
        <v>34.71</v>
      </c>
      <c r="T43" s="172"/>
      <c r="U43" s="172">
        <f t="shared" si="12"/>
        <v>1804.8</v>
      </c>
      <c r="V43" s="172">
        <f t="shared" si="11"/>
        <v>26426.85</v>
      </c>
      <c r="W43" s="172">
        <f t="shared" si="5"/>
        <v>8720.8605000000007</v>
      </c>
      <c r="X43" s="173">
        <v>0.34599999999999997</v>
      </c>
      <c r="Y43" s="172">
        <f t="shared" si="6"/>
        <v>3017.4177330000002</v>
      </c>
      <c r="Z43" s="172">
        <f t="shared" si="7"/>
        <v>11738.278233000001</v>
      </c>
      <c r="AA43" s="166"/>
    </row>
    <row r="44" spans="1:27">
      <c r="A44" s="159">
        <v>1</v>
      </c>
      <c r="B44" s="51" t="s">
        <v>227</v>
      </c>
      <c r="C44" s="51" t="s">
        <v>34</v>
      </c>
      <c r="D44" s="51"/>
      <c r="E44" s="151">
        <v>38749</v>
      </c>
      <c r="F44" s="170">
        <f>'A.1.0_TablaAntigüedad_Sub'!K44</f>
        <v>23</v>
      </c>
      <c r="G44" s="51"/>
      <c r="H44" s="171">
        <v>1</v>
      </c>
      <c r="I44" s="172">
        <f>'A.0_Tablas salariales SC'!$V$10</f>
        <v>1190.32</v>
      </c>
      <c r="J44" s="172">
        <f>'A.1.0_TablaAntigüedad_Sub'!V44</f>
        <v>343.31</v>
      </c>
      <c r="K44" s="172">
        <f t="shared" si="9"/>
        <v>1533.6299999999999</v>
      </c>
      <c r="L44" s="172">
        <f t="shared" si="10"/>
        <v>1533.6299999999999</v>
      </c>
      <c r="M44" s="172">
        <f>'A.0_Tablas salariales SC'!$AA$10</f>
        <v>450</v>
      </c>
      <c r="N44" s="172">
        <f t="shared" si="13"/>
        <v>0</v>
      </c>
      <c r="O44" s="172"/>
      <c r="P44" s="172">
        <v>0</v>
      </c>
      <c r="Q44" s="172">
        <f t="shared" si="3"/>
        <v>23454.45</v>
      </c>
      <c r="R44" s="172">
        <f>'A.0_Tablas salariales SC'!$X$10</f>
        <v>115.69</v>
      </c>
      <c r="S44" s="172">
        <f>'A.0_Tablas salariales SC'!$W$10</f>
        <v>34.71</v>
      </c>
      <c r="T44" s="172"/>
      <c r="U44" s="172">
        <f t="shared" si="12"/>
        <v>1804.8</v>
      </c>
      <c r="V44" s="172">
        <f t="shared" si="11"/>
        <v>25259.25</v>
      </c>
      <c r="W44" s="172">
        <f t="shared" si="5"/>
        <v>25259.25</v>
      </c>
      <c r="X44" s="173">
        <v>0.34599999999999997</v>
      </c>
      <c r="Y44" s="172">
        <f t="shared" si="6"/>
        <v>8739.700499999999</v>
      </c>
      <c r="Z44" s="172">
        <f t="shared" si="7"/>
        <v>33998.950499999999</v>
      </c>
      <c r="AA44" s="166"/>
    </row>
    <row r="45" spans="1:27">
      <c r="A45" s="159">
        <v>1</v>
      </c>
      <c r="B45" s="51" t="s">
        <v>227</v>
      </c>
      <c r="C45" s="51" t="s">
        <v>228</v>
      </c>
      <c r="D45" s="51"/>
      <c r="E45" s="151">
        <v>38932</v>
      </c>
      <c r="F45" s="170">
        <f>'A.1.0_TablaAntigüedad_Sub'!K45</f>
        <v>23</v>
      </c>
      <c r="G45" s="51"/>
      <c r="H45" s="171">
        <v>1</v>
      </c>
      <c r="I45" s="172">
        <f>'A.0_Tablas salariales SC'!$V$10</f>
        <v>1190.32</v>
      </c>
      <c r="J45" s="172">
        <f>'A.1.0_TablaAntigüedad_Sub'!V45</f>
        <v>343.31</v>
      </c>
      <c r="K45" s="172">
        <f t="shared" si="9"/>
        <v>1533.6299999999999</v>
      </c>
      <c r="L45" s="172">
        <f t="shared" si="10"/>
        <v>1533.6299999999999</v>
      </c>
      <c r="M45" s="172">
        <f>'A.0_Tablas salariales SC'!$AA$10</f>
        <v>450</v>
      </c>
      <c r="N45" s="172">
        <f t="shared" si="13"/>
        <v>0</v>
      </c>
      <c r="O45" s="172"/>
      <c r="P45" s="172">
        <v>0</v>
      </c>
      <c r="Q45" s="172">
        <f t="shared" si="3"/>
        <v>23454.45</v>
      </c>
      <c r="R45" s="172">
        <f>'A.0_Tablas salariales SC'!$X$10</f>
        <v>115.69</v>
      </c>
      <c r="S45" s="172">
        <f>'A.0_Tablas salariales SC'!$W$10</f>
        <v>34.71</v>
      </c>
      <c r="T45" s="172"/>
      <c r="U45" s="172">
        <f t="shared" si="12"/>
        <v>1804.8</v>
      </c>
      <c r="V45" s="172">
        <f t="shared" si="11"/>
        <v>25259.25</v>
      </c>
      <c r="W45" s="172">
        <f t="shared" si="5"/>
        <v>25259.25</v>
      </c>
      <c r="X45" s="173">
        <v>0.34599999999999997</v>
      </c>
      <c r="Y45" s="172">
        <f t="shared" si="6"/>
        <v>8739.700499999999</v>
      </c>
      <c r="Z45" s="172">
        <f t="shared" si="7"/>
        <v>33998.950499999999</v>
      </c>
      <c r="AA45" s="166"/>
    </row>
    <row r="46" spans="1:27">
      <c r="A46" s="159">
        <v>1</v>
      </c>
      <c r="B46" s="51" t="s">
        <v>227</v>
      </c>
      <c r="C46" s="51" t="s">
        <v>228</v>
      </c>
      <c r="D46" s="51"/>
      <c r="E46" s="151">
        <v>38749</v>
      </c>
      <c r="F46" s="170">
        <f>'A.1.0_TablaAntigüedad_Sub'!K46</f>
        <v>23</v>
      </c>
      <c r="G46" s="51"/>
      <c r="H46" s="171">
        <v>1</v>
      </c>
      <c r="I46" s="172">
        <f>'A.0_Tablas salariales SC'!$V$10</f>
        <v>1190.32</v>
      </c>
      <c r="J46" s="172">
        <f>'A.1.0_TablaAntigüedad_Sub'!V46</f>
        <v>343.31</v>
      </c>
      <c r="K46" s="172">
        <f t="shared" si="9"/>
        <v>1533.6299999999999</v>
      </c>
      <c r="L46" s="172">
        <f t="shared" si="10"/>
        <v>1533.6299999999999</v>
      </c>
      <c r="M46" s="172">
        <f>'A.0_Tablas salariales SC'!$AA$10</f>
        <v>450</v>
      </c>
      <c r="N46" s="172">
        <f>I46*0.25*1</f>
        <v>297.58</v>
      </c>
      <c r="O46" s="172"/>
      <c r="P46" s="172">
        <v>0</v>
      </c>
      <c r="Q46" s="172">
        <f t="shared" si="3"/>
        <v>27025.41</v>
      </c>
      <c r="R46" s="172">
        <f>'A.0_Tablas salariales SC'!$X$10</f>
        <v>115.69</v>
      </c>
      <c r="S46" s="172">
        <f>'A.0_Tablas salariales SC'!$W$10</f>
        <v>34.71</v>
      </c>
      <c r="T46" s="172"/>
      <c r="U46" s="172">
        <f t="shared" ref="U46:U64" si="14">(R46*R$4)+(S46*S$4)+T46</f>
        <v>1804.8</v>
      </c>
      <c r="V46" s="172">
        <f t="shared" si="11"/>
        <v>28830.21</v>
      </c>
      <c r="W46" s="172">
        <f t="shared" si="5"/>
        <v>28830.21</v>
      </c>
      <c r="X46" s="173">
        <v>0.34599999999999997</v>
      </c>
      <c r="Y46" s="172">
        <f t="shared" si="6"/>
        <v>9975.2526599999983</v>
      </c>
      <c r="Z46" s="172">
        <f t="shared" si="7"/>
        <v>38805.462659999997</v>
      </c>
      <c r="AA46" s="166"/>
    </row>
    <row r="47" spans="1:27">
      <c r="A47" s="159">
        <v>1</v>
      </c>
      <c r="B47" s="51" t="s">
        <v>227</v>
      </c>
      <c r="C47" s="51" t="s">
        <v>34</v>
      </c>
      <c r="D47" s="51"/>
      <c r="E47" s="151">
        <v>38749</v>
      </c>
      <c r="F47" s="170">
        <f>'A.1.0_TablaAntigüedad_Sub'!K47</f>
        <v>23</v>
      </c>
      <c r="G47" s="51"/>
      <c r="H47" s="171">
        <v>0.6</v>
      </c>
      <c r="I47" s="172">
        <f>'A.0_Tablas salariales SC'!$V$10</f>
        <v>1190.32</v>
      </c>
      <c r="J47" s="172">
        <f>'A.1.0_TablaAntigüedad_Sub'!V47</f>
        <v>343.31</v>
      </c>
      <c r="K47" s="172">
        <f t="shared" si="9"/>
        <v>1533.6299999999999</v>
      </c>
      <c r="L47" s="172">
        <f t="shared" si="10"/>
        <v>1533.6299999999999</v>
      </c>
      <c r="M47" s="172">
        <f>'A.0_Tablas salariales SC'!$AA$10</f>
        <v>450</v>
      </c>
      <c r="N47" s="172">
        <f t="shared" ref="N47:N64" si="15">I47*0.25*0</f>
        <v>0</v>
      </c>
      <c r="O47" s="172"/>
      <c r="P47" s="172">
        <v>0</v>
      </c>
      <c r="Q47" s="172">
        <f t="shared" si="3"/>
        <v>23454.45</v>
      </c>
      <c r="R47" s="172">
        <f>'A.0_Tablas salariales SC'!$X$10</f>
        <v>115.69</v>
      </c>
      <c r="S47" s="172">
        <f>'A.0_Tablas salariales SC'!$W$10</f>
        <v>34.71</v>
      </c>
      <c r="T47" s="172"/>
      <c r="U47" s="172">
        <f t="shared" si="14"/>
        <v>1804.8</v>
      </c>
      <c r="V47" s="172">
        <f t="shared" si="11"/>
        <v>25259.25</v>
      </c>
      <c r="W47" s="172">
        <f t="shared" si="5"/>
        <v>15155.55</v>
      </c>
      <c r="X47" s="173">
        <v>0.34599999999999997</v>
      </c>
      <c r="Y47" s="172">
        <f t="shared" si="6"/>
        <v>5243.8202999999994</v>
      </c>
      <c r="Z47" s="172">
        <f t="shared" si="7"/>
        <v>20399.370299999999</v>
      </c>
      <c r="AA47" s="166"/>
    </row>
    <row r="48" spans="1:27">
      <c r="A48" s="159">
        <v>1</v>
      </c>
      <c r="B48" s="51" t="s">
        <v>227</v>
      </c>
      <c r="C48" s="51" t="s">
        <v>34</v>
      </c>
      <c r="D48" s="51"/>
      <c r="E48" s="151">
        <v>38932</v>
      </c>
      <c r="F48" s="170">
        <f>'A.1.0_TablaAntigüedad_Sub'!K48</f>
        <v>23</v>
      </c>
      <c r="G48" s="51"/>
      <c r="H48" s="171">
        <v>1</v>
      </c>
      <c r="I48" s="172">
        <f>'A.0_Tablas salariales SC'!$V$10</f>
        <v>1190.32</v>
      </c>
      <c r="J48" s="172">
        <f>'A.1.0_TablaAntigüedad_Sub'!V48</f>
        <v>343.31</v>
      </c>
      <c r="K48" s="172">
        <f t="shared" si="9"/>
        <v>1533.6299999999999</v>
      </c>
      <c r="L48" s="172">
        <f t="shared" si="10"/>
        <v>1533.6299999999999</v>
      </c>
      <c r="M48" s="172">
        <f>'A.0_Tablas salariales SC'!$AA$10</f>
        <v>450</v>
      </c>
      <c r="N48" s="172">
        <f t="shared" si="15"/>
        <v>0</v>
      </c>
      <c r="O48" s="172"/>
      <c r="P48" s="172">
        <v>0</v>
      </c>
      <c r="Q48" s="172">
        <f t="shared" si="3"/>
        <v>23454.45</v>
      </c>
      <c r="R48" s="172">
        <f>'A.0_Tablas salariales SC'!$X$10</f>
        <v>115.69</v>
      </c>
      <c r="S48" s="172">
        <f>'A.0_Tablas salariales SC'!$W$10</f>
        <v>34.71</v>
      </c>
      <c r="T48" s="172"/>
      <c r="U48" s="172">
        <f t="shared" si="14"/>
        <v>1804.8</v>
      </c>
      <c r="V48" s="172">
        <f t="shared" si="11"/>
        <v>25259.25</v>
      </c>
      <c r="W48" s="172">
        <f t="shared" si="5"/>
        <v>25259.25</v>
      </c>
      <c r="X48" s="173">
        <v>0.34599999999999997</v>
      </c>
      <c r="Y48" s="172">
        <f t="shared" si="6"/>
        <v>8739.700499999999</v>
      </c>
      <c r="Z48" s="172">
        <f t="shared" si="7"/>
        <v>33998.950499999999</v>
      </c>
      <c r="AA48" s="166"/>
    </row>
    <row r="49" spans="1:27">
      <c r="A49" s="159">
        <v>1</v>
      </c>
      <c r="B49" s="51" t="s">
        <v>227</v>
      </c>
      <c r="C49" s="51" t="s">
        <v>34</v>
      </c>
      <c r="D49" s="51"/>
      <c r="E49" s="151">
        <v>42036</v>
      </c>
      <c r="F49" s="170">
        <f>'A.1.0_TablaAntigüedad_Sub'!K49</f>
        <v>14</v>
      </c>
      <c r="G49" s="51"/>
      <c r="H49" s="171">
        <v>1</v>
      </c>
      <c r="I49" s="172">
        <f>'A.0_Tablas salariales SC'!$V$10</f>
        <v>1190.32</v>
      </c>
      <c r="J49" s="172">
        <f>'A.1.0_TablaAntigüedad_Sub'!V49</f>
        <v>175.53</v>
      </c>
      <c r="K49" s="172">
        <f t="shared" si="9"/>
        <v>1365.85</v>
      </c>
      <c r="L49" s="172">
        <f t="shared" si="10"/>
        <v>1365.85</v>
      </c>
      <c r="M49" s="172">
        <f>'A.0_Tablas salariales SC'!$AA$10</f>
        <v>450</v>
      </c>
      <c r="N49" s="172">
        <f t="shared" si="15"/>
        <v>0</v>
      </c>
      <c r="O49" s="172"/>
      <c r="P49" s="172">
        <v>0</v>
      </c>
      <c r="Q49" s="172">
        <f t="shared" si="3"/>
        <v>20937.75</v>
      </c>
      <c r="R49" s="172">
        <f>'A.0_Tablas salariales SC'!$X$10</f>
        <v>115.69</v>
      </c>
      <c r="S49" s="172">
        <f>'A.0_Tablas salariales SC'!$W$10</f>
        <v>34.71</v>
      </c>
      <c r="T49" s="172"/>
      <c r="U49" s="172">
        <f t="shared" si="14"/>
        <v>1804.8</v>
      </c>
      <c r="V49" s="172">
        <f t="shared" si="11"/>
        <v>22742.55</v>
      </c>
      <c r="W49" s="172">
        <f t="shared" si="5"/>
        <v>22742.55</v>
      </c>
      <c r="X49" s="173">
        <v>0.34599999999999997</v>
      </c>
      <c r="Y49" s="172">
        <f t="shared" si="6"/>
        <v>7868.9222999999993</v>
      </c>
      <c r="Z49" s="172">
        <f t="shared" si="7"/>
        <v>30611.472299999998</v>
      </c>
      <c r="AA49" s="166"/>
    </row>
    <row r="50" spans="1:27">
      <c r="A50" s="159">
        <v>1</v>
      </c>
      <c r="B50" s="51" t="s">
        <v>227</v>
      </c>
      <c r="C50" s="51" t="s">
        <v>34</v>
      </c>
      <c r="D50" s="51"/>
      <c r="E50" s="151">
        <v>38749</v>
      </c>
      <c r="F50" s="170">
        <f>'A.1.0_TablaAntigüedad_Sub'!K50</f>
        <v>23</v>
      </c>
      <c r="G50" s="51"/>
      <c r="H50" s="171">
        <v>1</v>
      </c>
      <c r="I50" s="172">
        <f>'A.0_Tablas salariales SC'!$V$10</f>
        <v>1190.32</v>
      </c>
      <c r="J50" s="172">
        <f>'A.1.0_TablaAntigüedad_Sub'!V50</f>
        <v>343.31</v>
      </c>
      <c r="K50" s="172">
        <f t="shared" si="9"/>
        <v>1533.6299999999999</v>
      </c>
      <c r="L50" s="172">
        <f t="shared" si="10"/>
        <v>1533.6299999999999</v>
      </c>
      <c r="M50" s="172">
        <f>'A.0_Tablas salariales SC'!$AA$10</f>
        <v>450</v>
      </c>
      <c r="N50" s="172">
        <f t="shared" si="15"/>
        <v>0</v>
      </c>
      <c r="O50" s="172"/>
      <c r="P50" s="172">
        <v>0</v>
      </c>
      <c r="Q50" s="172">
        <f t="shared" si="3"/>
        <v>23454.45</v>
      </c>
      <c r="R50" s="172">
        <f>'A.0_Tablas salariales SC'!$X$10</f>
        <v>115.69</v>
      </c>
      <c r="S50" s="172">
        <f>'A.0_Tablas salariales SC'!$W$10</f>
        <v>34.71</v>
      </c>
      <c r="T50" s="172"/>
      <c r="U50" s="172">
        <f t="shared" si="14"/>
        <v>1804.8</v>
      </c>
      <c r="V50" s="172">
        <f t="shared" si="11"/>
        <v>25259.25</v>
      </c>
      <c r="W50" s="172">
        <f t="shared" si="5"/>
        <v>25259.25</v>
      </c>
      <c r="X50" s="173">
        <v>0.34599999999999997</v>
      </c>
      <c r="Y50" s="172">
        <f t="shared" si="6"/>
        <v>8739.700499999999</v>
      </c>
      <c r="Z50" s="172">
        <f t="shared" si="7"/>
        <v>33998.950499999999</v>
      </c>
      <c r="AA50" s="166"/>
    </row>
    <row r="51" spans="1:27">
      <c r="A51" s="159">
        <v>1</v>
      </c>
      <c r="B51" s="51" t="s">
        <v>227</v>
      </c>
      <c r="C51" s="51" t="s">
        <v>34</v>
      </c>
      <c r="D51" s="51"/>
      <c r="E51" s="151">
        <v>40250</v>
      </c>
      <c r="F51" s="170">
        <f>'A.1.0_TablaAntigüedad_Sub'!K51</f>
        <v>19</v>
      </c>
      <c r="G51" s="51"/>
      <c r="H51" s="171">
        <v>1</v>
      </c>
      <c r="I51" s="172">
        <f>'A.0_Tablas salariales SC'!$V$10</f>
        <v>1190.32</v>
      </c>
      <c r="J51" s="172">
        <f>'A.1.0_TablaAntigüedad_Sub'!V51</f>
        <v>264.41000000000003</v>
      </c>
      <c r="K51" s="172">
        <f t="shared" si="9"/>
        <v>1454.73</v>
      </c>
      <c r="L51" s="172">
        <f t="shared" si="10"/>
        <v>1454.73</v>
      </c>
      <c r="M51" s="172">
        <f>'A.0_Tablas salariales SC'!$AA$10</f>
        <v>450</v>
      </c>
      <c r="N51" s="172">
        <f t="shared" si="15"/>
        <v>0</v>
      </c>
      <c r="O51" s="172"/>
      <c r="P51" s="172">
        <v>0</v>
      </c>
      <c r="Q51" s="172">
        <f t="shared" si="3"/>
        <v>22270.95</v>
      </c>
      <c r="R51" s="172">
        <f>'A.0_Tablas salariales SC'!$X$10</f>
        <v>115.69</v>
      </c>
      <c r="S51" s="172">
        <f>'A.0_Tablas salariales SC'!$W$10</f>
        <v>34.71</v>
      </c>
      <c r="T51" s="172"/>
      <c r="U51" s="172">
        <f t="shared" si="14"/>
        <v>1804.8</v>
      </c>
      <c r="V51" s="172">
        <f t="shared" si="11"/>
        <v>24075.75</v>
      </c>
      <c r="W51" s="172">
        <f t="shared" si="5"/>
        <v>24075.75</v>
      </c>
      <c r="X51" s="173">
        <v>0.34599999999999997</v>
      </c>
      <c r="Y51" s="172">
        <f t="shared" si="6"/>
        <v>8330.209499999999</v>
      </c>
      <c r="Z51" s="172">
        <f t="shared" si="7"/>
        <v>32405.959499999997</v>
      </c>
      <c r="AA51" s="166"/>
    </row>
    <row r="52" spans="1:27">
      <c r="A52" s="159">
        <v>1</v>
      </c>
      <c r="B52" s="51" t="s">
        <v>227</v>
      </c>
      <c r="C52" s="51" t="s">
        <v>34</v>
      </c>
      <c r="D52" s="51"/>
      <c r="E52" s="151">
        <v>39038</v>
      </c>
      <c r="F52" s="170">
        <f>'A.1.0_TablaAntigüedad_Sub'!K52</f>
        <v>23</v>
      </c>
      <c r="G52" s="51"/>
      <c r="H52" s="171">
        <v>1</v>
      </c>
      <c r="I52" s="172">
        <f>'A.0_Tablas salariales SC'!$V$10</f>
        <v>1190.32</v>
      </c>
      <c r="J52" s="172">
        <f>'A.1.0_TablaAntigüedad_Sub'!V52</f>
        <v>343.31</v>
      </c>
      <c r="K52" s="172">
        <f t="shared" si="9"/>
        <v>1533.6299999999999</v>
      </c>
      <c r="L52" s="172">
        <f t="shared" si="10"/>
        <v>1533.6299999999999</v>
      </c>
      <c r="M52" s="172">
        <f>'A.0_Tablas salariales SC'!$AA$10</f>
        <v>450</v>
      </c>
      <c r="N52" s="172">
        <f t="shared" si="15"/>
        <v>0</v>
      </c>
      <c r="O52" s="172"/>
      <c r="P52" s="172">
        <v>0</v>
      </c>
      <c r="Q52" s="172">
        <f t="shared" si="3"/>
        <v>23454.45</v>
      </c>
      <c r="R52" s="172">
        <f>'A.0_Tablas salariales SC'!$X$10</f>
        <v>115.69</v>
      </c>
      <c r="S52" s="172">
        <f>'A.0_Tablas salariales SC'!$W$10</f>
        <v>34.71</v>
      </c>
      <c r="T52" s="172"/>
      <c r="U52" s="172">
        <f t="shared" si="14"/>
        <v>1804.8</v>
      </c>
      <c r="V52" s="172">
        <f t="shared" si="11"/>
        <v>25259.25</v>
      </c>
      <c r="W52" s="172">
        <f t="shared" si="5"/>
        <v>25259.25</v>
      </c>
      <c r="X52" s="173">
        <v>0.34599999999999997</v>
      </c>
      <c r="Y52" s="172">
        <f t="shared" si="6"/>
        <v>8739.700499999999</v>
      </c>
      <c r="Z52" s="172">
        <f t="shared" si="7"/>
        <v>33998.950499999999</v>
      </c>
      <c r="AA52" s="166"/>
    </row>
    <row r="53" spans="1:27">
      <c r="A53" s="159">
        <v>1</v>
      </c>
      <c r="B53" s="51" t="s">
        <v>227</v>
      </c>
      <c r="C53" s="51" t="s">
        <v>34</v>
      </c>
      <c r="D53" s="51"/>
      <c r="E53" s="151">
        <v>39663</v>
      </c>
      <c r="F53" s="170">
        <f>'A.1.0_TablaAntigüedad_Sub'!K53</f>
        <v>21</v>
      </c>
      <c r="G53" s="51"/>
      <c r="H53" s="171">
        <v>1</v>
      </c>
      <c r="I53" s="172">
        <f>'A.0_Tablas salariales SC'!$V$10</f>
        <v>1190.32</v>
      </c>
      <c r="J53" s="172">
        <f>'A.1.0_TablaAntigüedad_Sub'!V53</f>
        <v>280.79000000000002</v>
      </c>
      <c r="K53" s="172">
        <f t="shared" si="9"/>
        <v>1471.11</v>
      </c>
      <c r="L53" s="172">
        <f t="shared" si="10"/>
        <v>1471.11</v>
      </c>
      <c r="M53" s="172">
        <f>'A.0_Tablas salariales SC'!$AA$10</f>
        <v>450</v>
      </c>
      <c r="N53" s="172">
        <f t="shared" si="15"/>
        <v>0</v>
      </c>
      <c r="O53" s="172"/>
      <c r="P53" s="172">
        <v>0</v>
      </c>
      <c r="Q53" s="172">
        <f t="shared" si="3"/>
        <v>22516.65</v>
      </c>
      <c r="R53" s="172">
        <f>'A.0_Tablas salariales SC'!$X$10</f>
        <v>115.69</v>
      </c>
      <c r="S53" s="172">
        <f>'A.0_Tablas salariales SC'!$W$10</f>
        <v>34.71</v>
      </c>
      <c r="T53" s="172"/>
      <c r="U53" s="172">
        <f t="shared" si="14"/>
        <v>1804.8</v>
      </c>
      <c r="V53" s="172">
        <f t="shared" si="11"/>
        <v>24321.45</v>
      </c>
      <c r="W53" s="172">
        <f t="shared" si="5"/>
        <v>24321.45</v>
      </c>
      <c r="X53" s="173">
        <v>0.34599999999999997</v>
      </c>
      <c r="Y53" s="172">
        <f t="shared" si="6"/>
        <v>8415.2217000000001</v>
      </c>
      <c r="Z53" s="172">
        <f t="shared" si="7"/>
        <v>32736.671699999999</v>
      </c>
      <c r="AA53" s="166"/>
    </row>
    <row r="54" spans="1:27">
      <c r="A54" s="159">
        <v>1</v>
      </c>
      <c r="B54" s="51" t="s">
        <v>227</v>
      </c>
      <c r="C54" s="51" t="s">
        <v>34</v>
      </c>
      <c r="D54" s="51"/>
      <c r="E54" s="151">
        <v>39650</v>
      </c>
      <c r="F54" s="170">
        <f>'A.1.0_TablaAntigüedad_Sub'!K54</f>
        <v>21</v>
      </c>
      <c r="G54" s="51"/>
      <c r="H54" s="171">
        <v>1</v>
      </c>
      <c r="I54" s="172">
        <f>'A.0_Tablas salariales SC'!$V$10</f>
        <v>1190.32</v>
      </c>
      <c r="J54" s="172">
        <f>'A.1.0_TablaAntigüedad_Sub'!V54</f>
        <v>280.79000000000002</v>
      </c>
      <c r="K54" s="172">
        <f t="shared" si="9"/>
        <v>1471.11</v>
      </c>
      <c r="L54" s="172">
        <f t="shared" si="10"/>
        <v>1471.11</v>
      </c>
      <c r="M54" s="172">
        <f>'A.0_Tablas salariales SC'!$AA$10</f>
        <v>450</v>
      </c>
      <c r="N54" s="172">
        <f t="shared" si="15"/>
        <v>0</v>
      </c>
      <c r="O54" s="172"/>
      <c r="P54" s="172">
        <v>0</v>
      </c>
      <c r="Q54" s="172">
        <f t="shared" si="3"/>
        <v>22516.65</v>
      </c>
      <c r="R54" s="172">
        <f>'A.0_Tablas salariales SC'!$X$10</f>
        <v>115.69</v>
      </c>
      <c r="S54" s="172">
        <f>'A.0_Tablas salariales SC'!$W$10</f>
        <v>34.71</v>
      </c>
      <c r="T54" s="172"/>
      <c r="U54" s="172">
        <f t="shared" si="14"/>
        <v>1804.8</v>
      </c>
      <c r="V54" s="172">
        <f t="shared" si="11"/>
        <v>24321.45</v>
      </c>
      <c r="W54" s="172">
        <f t="shared" si="5"/>
        <v>24321.45</v>
      </c>
      <c r="X54" s="173">
        <v>0.34599999999999997</v>
      </c>
      <c r="Y54" s="172">
        <f t="shared" si="6"/>
        <v>8415.2217000000001</v>
      </c>
      <c r="Z54" s="172">
        <f t="shared" si="7"/>
        <v>32736.671699999999</v>
      </c>
      <c r="AA54" s="166"/>
    </row>
    <row r="55" spans="1:27" hidden="1">
      <c r="A55" s="159">
        <v>0</v>
      </c>
      <c r="B55" s="51" t="s">
        <v>227</v>
      </c>
      <c r="C55" s="51" t="s">
        <v>34</v>
      </c>
      <c r="D55" s="51"/>
      <c r="E55" s="151">
        <v>38749</v>
      </c>
      <c r="F55" s="170">
        <f>'A.1.0_TablaAntigüedad_Sub'!K55</f>
        <v>23</v>
      </c>
      <c r="G55" s="51"/>
      <c r="H55" s="171">
        <v>1</v>
      </c>
      <c r="I55" s="172">
        <f>'A.0_Tablas salariales SC'!$V$10</f>
        <v>1190.32</v>
      </c>
      <c r="J55" s="172">
        <f>'A.1.0_TablaAntigüedad_Sub'!V55</f>
        <v>0</v>
      </c>
      <c r="K55" s="172">
        <f t="shared" si="9"/>
        <v>1190.32</v>
      </c>
      <c r="L55" s="172">
        <f t="shared" si="10"/>
        <v>1190.32</v>
      </c>
      <c r="M55" s="172">
        <v>461.42333333333301</v>
      </c>
      <c r="N55" s="172">
        <f t="shared" si="15"/>
        <v>0</v>
      </c>
      <c r="O55" s="172"/>
      <c r="P55" s="172">
        <v>0</v>
      </c>
      <c r="Q55" s="172">
        <f t="shared" si="3"/>
        <v>0</v>
      </c>
      <c r="R55" s="172">
        <v>118.63</v>
      </c>
      <c r="S55" s="172">
        <f>'A.0_Tablas salariales SC'!$W$10</f>
        <v>34.71</v>
      </c>
      <c r="T55" s="172"/>
      <c r="U55" s="172">
        <f t="shared" si="14"/>
        <v>1840.08</v>
      </c>
      <c r="V55" s="172">
        <f t="shared" si="11"/>
        <v>1840.08</v>
      </c>
      <c r="W55" s="172">
        <f t="shared" si="5"/>
        <v>0</v>
      </c>
      <c r="X55" s="173">
        <v>0.34599999999999997</v>
      </c>
      <c r="Y55" s="172">
        <f t="shared" si="6"/>
        <v>0</v>
      </c>
      <c r="Z55" s="172">
        <f t="shared" si="7"/>
        <v>0</v>
      </c>
      <c r="AA55" s="166"/>
    </row>
    <row r="56" spans="1:27" hidden="1">
      <c r="A56" s="159">
        <v>0</v>
      </c>
      <c r="B56" s="51" t="s">
        <v>227</v>
      </c>
      <c r="C56" s="51" t="s">
        <v>34</v>
      </c>
      <c r="D56" s="51"/>
      <c r="E56" s="151">
        <v>38749</v>
      </c>
      <c r="F56" s="170">
        <f>'A.1.0_TablaAntigüedad_Sub'!K56</f>
        <v>23</v>
      </c>
      <c r="G56" s="51"/>
      <c r="H56" s="171">
        <v>1</v>
      </c>
      <c r="I56" s="172">
        <f>'A.0_Tablas salariales SC'!$V$10</f>
        <v>1190.32</v>
      </c>
      <c r="J56" s="172">
        <f>'A.1.0_TablaAntigüedad_Sub'!V56</f>
        <v>0</v>
      </c>
      <c r="K56" s="172">
        <f t="shared" si="9"/>
        <v>1190.32</v>
      </c>
      <c r="L56" s="172">
        <f t="shared" si="10"/>
        <v>1190.32</v>
      </c>
      <c r="M56" s="172">
        <v>461.42333333333301</v>
      </c>
      <c r="N56" s="172">
        <f t="shared" si="15"/>
        <v>0</v>
      </c>
      <c r="O56" s="172"/>
      <c r="P56" s="172">
        <v>0</v>
      </c>
      <c r="Q56" s="172">
        <f t="shared" si="3"/>
        <v>0</v>
      </c>
      <c r="R56" s="172">
        <v>118.63</v>
      </c>
      <c r="S56" s="172">
        <f>'A.0_Tablas salariales SC'!$W$10</f>
        <v>34.71</v>
      </c>
      <c r="T56" s="172"/>
      <c r="U56" s="172">
        <f t="shared" si="14"/>
        <v>1840.08</v>
      </c>
      <c r="V56" s="172">
        <f t="shared" si="11"/>
        <v>1840.08</v>
      </c>
      <c r="W56" s="172">
        <f t="shared" si="5"/>
        <v>0</v>
      </c>
      <c r="X56" s="173">
        <v>0.34599999999999997</v>
      </c>
      <c r="Y56" s="172">
        <f t="shared" si="6"/>
        <v>0</v>
      </c>
      <c r="Z56" s="172">
        <f t="shared" si="7"/>
        <v>0</v>
      </c>
      <c r="AA56" s="166"/>
    </row>
    <row r="57" spans="1:27" hidden="1">
      <c r="A57" s="159">
        <v>0</v>
      </c>
      <c r="B57" s="51" t="s">
        <v>227</v>
      </c>
      <c r="C57" s="51" t="s">
        <v>34</v>
      </c>
      <c r="D57" s="51"/>
      <c r="E57" s="151">
        <v>40196</v>
      </c>
      <c r="F57" s="170">
        <f>'A.1.0_TablaAntigüedad_Sub'!K57</f>
        <v>19</v>
      </c>
      <c r="G57" s="51"/>
      <c r="H57" s="171">
        <v>0.6</v>
      </c>
      <c r="I57" s="172">
        <f>'A.0_Tablas salariales SC'!$V$10</f>
        <v>1190.32</v>
      </c>
      <c r="J57" s="172">
        <f>'A.1.0_TablaAntigüedad_Sub'!V57</f>
        <v>0</v>
      </c>
      <c r="K57" s="172">
        <f t="shared" si="9"/>
        <v>1190.32</v>
      </c>
      <c r="L57" s="172">
        <f t="shared" si="10"/>
        <v>1190.32</v>
      </c>
      <c r="M57" s="172">
        <v>461.42333333333301</v>
      </c>
      <c r="N57" s="172">
        <f t="shared" si="15"/>
        <v>0</v>
      </c>
      <c r="O57" s="172"/>
      <c r="P57" s="172">
        <v>0</v>
      </c>
      <c r="Q57" s="172">
        <f t="shared" si="3"/>
        <v>0</v>
      </c>
      <c r="R57" s="172">
        <v>118.63</v>
      </c>
      <c r="S57" s="172">
        <f>'A.0_Tablas salariales SC'!$W$10</f>
        <v>34.71</v>
      </c>
      <c r="T57" s="172"/>
      <c r="U57" s="172">
        <f t="shared" si="14"/>
        <v>1840.08</v>
      </c>
      <c r="V57" s="172">
        <f t="shared" si="11"/>
        <v>1840.08</v>
      </c>
      <c r="W57" s="172">
        <f t="shared" si="5"/>
        <v>0</v>
      </c>
      <c r="X57" s="173">
        <v>0.34599999999999997</v>
      </c>
      <c r="Y57" s="172">
        <f t="shared" si="6"/>
        <v>0</v>
      </c>
      <c r="Z57" s="172">
        <f t="shared" si="7"/>
        <v>0</v>
      </c>
      <c r="AA57" s="166"/>
    </row>
    <row r="58" spans="1:27" hidden="1">
      <c r="A58" s="159">
        <v>0</v>
      </c>
      <c r="B58" s="51" t="s">
        <v>227</v>
      </c>
      <c r="C58" s="51" t="s">
        <v>34</v>
      </c>
      <c r="D58" s="51"/>
      <c r="E58" s="151">
        <v>39539</v>
      </c>
      <c r="F58" s="170">
        <f>'A.1.0_TablaAntigüedad_Sub'!K58</f>
        <v>21</v>
      </c>
      <c r="G58" s="51"/>
      <c r="H58" s="171">
        <v>1</v>
      </c>
      <c r="I58" s="172">
        <f>'A.0_Tablas salariales SC'!$V$10</f>
        <v>1190.32</v>
      </c>
      <c r="J58" s="172">
        <f>'A.1.0_TablaAntigüedad_Sub'!V58</f>
        <v>0</v>
      </c>
      <c r="K58" s="172">
        <f t="shared" si="9"/>
        <v>1190.32</v>
      </c>
      <c r="L58" s="172">
        <f t="shared" si="10"/>
        <v>1190.32</v>
      </c>
      <c r="M58" s="172">
        <v>461.42333333333301</v>
      </c>
      <c r="N58" s="172">
        <f t="shared" si="15"/>
        <v>0</v>
      </c>
      <c r="O58" s="172"/>
      <c r="P58" s="172">
        <v>0</v>
      </c>
      <c r="Q58" s="172">
        <f t="shared" si="3"/>
        <v>0</v>
      </c>
      <c r="R58" s="172">
        <v>118.63</v>
      </c>
      <c r="S58" s="172">
        <f>'A.0_Tablas salariales SC'!$W$10</f>
        <v>34.71</v>
      </c>
      <c r="T58" s="172"/>
      <c r="U58" s="172">
        <f t="shared" si="14"/>
        <v>1840.08</v>
      </c>
      <c r="V58" s="172">
        <f t="shared" si="11"/>
        <v>1840.08</v>
      </c>
      <c r="W58" s="172">
        <f t="shared" si="5"/>
        <v>0</v>
      </c>
      <c r="X58" s="173">
        <v>0.34599999999999997</v>
      </c>
      <c r="Y58" s="172">
        <f t="shared" si="6"/>
        <v>0</v>
      </c>
      <c r="Z58" s="172">
        <f t="shared" si="7"/>
        <v>0</v>
      </c>
      <c r="AA58" s="166"/>
    </row>
    <row r="59" spans="1:27" hidden="1">
      <c r="A59" s="159">
        <v>0</v>
      </c>
      <c r="B59" s="51" t="s">
        <v>227</v>
      </c>
      <c r="C59" s="51" t="s">
        <v>34</v>
      </c>
      <c r="D59" s="51"/>
      <c r="E59" s="151">
        <v>38749</v>
      </c>
      <c r="F59" s="170">
        <f>'A.1.0_TablaAntigüedad_Sub'!K59</f>
        <v>23</v>
      </c>
      <c r="G59" s="51"/>
      <c r="H59" s="171">
        <v>1</v>
      </c>
      <c r="I59" s="172">
        <f>'A.0_Tablas salariales SC'!$V$10</f>
        <v>1190.32</v>
      </c>
      <c r="J59" s="172">
        <f>'A.1.0_TablaAntigüedad_Sub'!V59</f>
        <v>0</v>
      </c>
      <c r="K59" s="172">
        <f t="shared" si="9"/>
        <v>1190.32</v>
      </c>
      <c r="L59" s="172">
        <f t="shared" si="10"/>
        <v>1190.32</v>
      </c>
      <c r="M59" s="172">
        <v>461.42333333333301</v>
      </c>
      <c r="N59" s="172">
        <f t="shared" si="15"/>
        <v>0</v>
      </c>
      <c r="O59" s="172"/>
      <c r="P59" s="172">
        <v>0</v>
      </c>
      <c r="Q59" s="172">
        <f t="shared" si="3"/>
        <v>0</v>
      </c>
      <c r="R59" s="172">
        <v>118.63</v>
      </c>
      <c r="S59" s="172">
        <f>'A.0_Tablas salariales SC'!$W$10</f>
        <v>34.71</v>
      </c>
      <c r="T59" s="172"/>
      <c r="U59" s="172">
        <f t="shared" si="14"/>
        <v>1840.08</v>
      </c>
      <c r="V59" s="172">
        <f t="shared" si="11"/>
        <v>1840.08</v>
      </c>
      <c r="W59" s="172">
        <f t="shared" si="5"/>
        <v>0</v>
      </c>
      <c r="X59" s="173">
        <v>0.34599999999999997</v>
      </c>
      <c r="Y59" s="172">
        <f t="shared" si="6"/>
        <v>0</v>
      </c>
      <c r="Z59" s="172">
        <f t="shared" si="7"/>
        <v>0</v>
      </c>
      <c r="AA59" s="166"/>
    </row>
    <row r="60" spans="1:27" hidden="1">
      <c r="A60" s="159">
        <v>0</v>
      </c>
      <c r="B60" s="51" t="s">
        <v>227</v>
      </c>
      <c r="C60" s="51" t="s">
        <v>228</v>
      </c>
      <c r="D60" s="51"/>
      <c r="E60" s="151">
        <v>38749</v>
      </c>
      <c r="F60" s="170">
        <f>'A.1.0_TablaAntigüedad_Sub'!K60</f>
        <v>23</v>
      </c>
      <c r="G60" s="51"/>
      <c r="H60" s="171">
        <v>1</v>
      </c>
      <c r="I60" s="172">
        <f>'A.0_Tablas salariales SC'!$V$10</f>
        <v>1190.32</v>
      </c>
      <c r="J60" s="172">
        <f>'A.1.0_TablaAntigüedad_Sub'!V60</f>
        <v>0</v>
      </c>
      <c r="K60" s="172">
        <f t="shared" si="9"/>
        <v>1190.32</v>
      </c>
      <c r="L60" s="172">
        <f t="shared" si="10"/>
        <v>1190.32</v>
      </c>
      <c r="M60" s="172">
        <v>461.42333333333301</v>
      </c>
      <c r="N60" s="172">
        <f t="shared" si="15"/>
        <v>0</v>
      </c>
      <c r="O60" s="172"/>
      <c r="P60" s="172">
        <v>0</v>
      </c>
      <c r="Q60" s="172">
        <f t="shared" si="3"/>
        <v>0</v>
      </c>
      <c r="R60" s="172">
        <v>118.63</v>
      </c>
      <c r="S60" s="172">
        <f>'A.0_Tablas salariales SC'!$W$10</f>
        <v>34.71</v>
      </c>
      <c r="T60" s="172"/>
      <c r="U60" s="172">
        <f t="shared" si="14"/>
        <v>1840.08</v>
      </c>
      <c r="V60" s="172">
        <f t="shared" si="11"/>
        <v>1840.08</v>
      </c>
      <c r="W60" s="172">
        <f t="shared" si="5"/>
        <v>0</v>
      </c>
      <c r="X60" s="173">
        <v>0.34599999999999997</v>
      </c>
      <c r="Y60" s="172">
        <f t="shared" si="6"/>
        <v>0</v>
      </c>
      <c r="Z60" s="172">
        <f t="shared" si="7"/>
        <v>0</v>
      </c>
      <c r="AA60" s="166"/>
    </row>
    <row r="61" spans="1:27" hidden="1">
      <c r="A61" s="159">
        <v>0</v>
      </c>
      <c r="B61" s="51" t="s">
        <v>227</v>
      </c>
      <c r="C61" s="51" t="s">
        <v>34</v>
      </c>
      <c r="D61" s="51"/>
      <c r="E61" s="151">
        <v>35827</v>
      </c>
      <c r="F61" s="170">
        <f>'A.1.0_TablaAntigüedad_Sub'!K61</f>
        <v>31</v>
      </c>
      <c r="G61" s="51"/>
      <c r="H61" s="171">
        <v>0.33</v>
      </c>
      <c r="I61" s="172">
        <f>'A.0_Tablas salariales SC'!$V$10</f>
        <v>1190.32</v>
      </c>
      <c r="J61" s="172">
        <f>'A.1.0_TablaAntigüedad_Sub'!V61</f>
        <v>0</v>
      </c>
      <c r="K61" s="172">
        <f t="shared" si="9"/>
        <v>1190.32</v>
      </c>
      <c r="L61" s="172">
        <f t="shared" si="10"/>
        <v>1190.32</v>
      </c>
      <c r="M61" s="172">
        <v>461.42333333333301</v>
      </c>
      <c r="N61" s="172">
        <f t="shared" si="15"/>
        <v>0</v>
      </c>
      <c r="O61" s="172"/>
      <c r="P61" s="172">
        <v>0</v>
      </c>
      <c r="Q61" s="172">
        <f t="shared" si="3"/>
        <v>0</v>
      </c>
      <c r="R61" s="172">
        <v>118.63</v>
      </c>
      <c r="S61" s="172">
        <f>'A.0_Tablas salariales SC'!$W$10</f>
        <v>34.71</v>
      </c>
      <c r="T61" s="172"/>
      <c r="U61" s="172">
        <f t="shared" si="14"/>
        <v>1840.08</v>
      </c>
      <c r="V61" s="172">
        <f t="shared" si="11"/>
        <v>1840.08</v>
      </c>
      <c r="W61" s="172">
        <f t="shared" si="5"/>
        <v>0</v>
      </c>
      <c r="X61" s="173">
        <v>0.34599999999999997</v>
      </c>
      <c r="Y61" s="172">
        <f t="shared" si="6"/>
        <v>0</v>
      </c>
      <c r="Z61" s="172">
        <f t="shared" si="7"/>
        <v>0</v>
      </c>
      <c r="AA61" s="166"/>
    </row>
    <row r="62" spans="1:27" hidden="1">
      <c r="A62" s="159">
        <v>0</v>
      </c>
      <c r="B62" s="51" t="s">
        <v>227</v>
      </c>
      <c r="C62" s="51" t="s">
        <v>34</v>
      </c>
      <c r="D62" s="51"/>
      <c r="E62" s="151">
        <v>38749</v>
      </c>
      <c r="F62" s="170">
        <f>'A.1.0_TablaAntigüedad_Sub'!K62</f>
        <v>23</v>
      </c>
      <c r="G62" s="51"/>
      <c r="H62" s="171">
        <v>1</v>
      </c>
      <c r="I62" s="172">
        <f>'A.0_Tablas salariales SC'!$V$10</f>
        <v>1190.32</v>
      </c>
      <c r="J62" s="172">
        <f>'A.1.0_TablaAntigüedad_Sub'!V62</f>
        <v>0</v>
      </c>
      <c r="K62" s="172">
        <f t="shared" si="9"/>
        <v>1190.32</v>
      </c>
      <c r="L62" s="172">
        <f t="shared" si="10"/>
        <v>1190.32</v>
      </c>
      <c r="M62" s="172">
        <v>461.42333333333301</v>
      </c>
      <c r="N62" s="172">
        <f t="shared" si="15"/>
        <v>0</v>
      </c>
      <c r="O62" s="172"/>
      <c r="P62" s="172">
        <v>0</v>
      </c>
      <c r="Q62" s="172">
        <f t="shared" si="3"/>
        <v>0</v>
      </c>
      <c r="R62" s="172">
        <v>118.63</v>
      </c>
      <c r="S62" s="172">
        <f>'A.0_Tablas salariales SC'!$W$10</f>
        <v>34.71</v>
      </c>
      <c r="T62" s="172"/>
      <c r="U62" s="172">
        <f t="shared" si="14"/>
        <v>1840.08</v>
      </c>
      <c r="V62" s="172">
        <f t="shared" si="11"/>
        <v>1840.08</v>
      </c>
      <c r="W62" s="172">
        <f t="shared" si="5"/>
        <v>0</v>
      </c>
      <c r="X62" s="173">
        <v>0.34599999999999997</v>
      </c>
      <c r="Y62" s="172">
        <f t="shared" si="6"/>
        <v>0</v>
      </c>
      <c r="Z62" s="172">
        <f t="shared" si="7"/>
        <v>0</v>
      </c>
      <c r="AA62" s="166"/>
    </row>
    <row r="63" spans="1:27" hidden="1">
      <c r="A63" s="159">
        <v>0</v>
      </c>
      <c r="B63" s="51" t="s">
        <v>227</v>
      </c>
      <c r="C63" s="51" t="s">
        <v>228</v>
      </c>
      <c r="D63" s="51"/>
      <c r="E63" s="151">
        <v>38932</v>
      </c>
      <c r="F63" s="170">
        <f>'A.1.0_TablaAntigüedad_Sub'!K63</f>
        <v>23</v>
      </c>
      <c r="G63" s="51"/>
      <c r="H63" s="171">
        <v>1</v>
      </c>
      <c r="I63" s="172">
        <f>'A.0_Tablas salariales SC'!$V$10</f>
        <v>1190.32</v>
      </c>
      <c r="J63" s="172">
        <f>'A.1.0_TablaAntigüedad_Sub'!V63</f>
        <v>0</v>
      </c>
      <c r="K63" s="172">
        <f t="shared" si="9"/>
        <v>1190.32</v>
      </c>
      <c r="L63" s="172">
        <f t="shared" si="10"/>
        <v>1190.32</v>
      </c>
      <c r="M63" s="172">
        <v>461.42333333333301</v>
      </c>
      <c r="N63" s="172">
        <f>I63*0.25*0</f>
        <v>0</v>
      </c>
      <c r="O63" s="172"/>
      <c r="P63" s="172">
        <v>0</v>
      </c>
      <c r="Q63" s="172">
        <f t="shared" si="3"/>
        <v>0</v>
      </c>
      <c r="R63" s="172">
        <v>118.63</v>
      </c>
      <c r="S63" s="172">
        <f>'A.0_Tablas salariales SC'!$W$10</f>
        <v>34.71</v>
      </c>
      <c r="T63" s="172"/>
      <c r="U63" s="172">
        <f t="shared" si="14"/>
        <v>1840.08</v>
      </c>
      <c r="V63" s="172">
        <f t="shared" si="11"/>
        <v>1840.08</v>
      </c>
      <c r="W63" s="172">
        <f t="shared" si="5"/>
        <v>0</v>
      </c>
      <c r="X63" s="173">
        <v>0.34599999999999997</v>
      </c>
      <c r="Y63" s="172">
        <f t="shared" si="6"/>
        <v>0</v>
      </c>
      <c r="Z63" s="172">
        <f t="shared" si="7"/>
        <v>0</v>
      </c>
      <c r="AA63" s="166"/>
    </row>
    <row r="64" spans="1:27" hidden="1">
      <c r="A64" s="159">
        <v>0</v>
      </c>
      <c r="B64" s="51" t="s">
        <v>227</v>
      </c>
      <c r="C64" s="51" t="s">
        <v>228</v>
      </c>
      <c r="D64" s="51"/>
      <c r="E64" s="151">
        <v>38932</v>
      </c>
      <c r="F64" s="170">
        <f>'A.1.0_TablaAntigüedad_Sub'!K64</f>
        <v>23</v>
      </c>
      <c r="G64" s="51"/>
      <c r="H64" s="171">
        <v>1</v>
      </c>
      <c r="I64" s="172">
        <f>'A.0_Tablas salariales SC'!$V$10</f>
        <v>1190.32</v>
      </c>
      <c r="J64" s="172">
        <f>'A.1.0_TablaAntigüedad_Sub'!V64</f>
        <v>0</v>
      </c>
      <c r="K64" s="172">
        <f>I64+J64</f>
        <v>1190.32</v>
      </c>
      <c r="L64" s="172">
        <f>I64+J64</f>
        <v>1190.32</v>
      </c>
      <c r="M64" s="172">
        <v>461.42333333333301</v>
      </c>
      <c r="N64" s="172">
        <f t="shared" si="15"/>
        <v>0</v>
      </c>
      <c r="O64" s="172"/>
      <c r="P64" s="172">
        <v>0</v>
      </c>
      <c r="Q64" s="172">
        <f t="shared" si="3"/>
        <v>0</v>
      </c>
      <c r="R64" s="172">
        <v>118.63</v>
      </c>
      <c r="S64" s="172">
        <f>'A.0_Tablas salariales SC'!$W$10</f>
        <v>34.71</v>
      </c>
      <c r="T64" s="172"/>
      <c r="U64" s="172">
        <f t="shared" si="14"/>
        <v>1840.08</v>
      </c>
      <c r="V64" s="172">
        <f>+Q64+U64</f>
        <v>1840.08</v>
      </c>
      <c r="W64" s="172">
        <f t="shared" si="5"/>
        <v>0</v>
      </c>
      <c r="X64" s="173">
        <v>0.34599999999999997</v>
      </c>
      <c r="Y64" s="172">
        <f t="shared" si="6"/>
        <v>0</v>
      </c>
      <c r="Z64" s="172">
        <f t="shared" si="7"/>
        <v>0</v>
      </c>
      <c r="AA64" s="166"/>
    </row>
    <row r="65" spans="1:27">
      <c r="A65" s="154"/>
      <c r="B65" s="154"/>
      <c r="C65" s="154"/>
      <c r="D65" s="154"/>
      <c r="E65" s="154"/>
      <c r="F65" s="154"/>
      <c r="G65" s="154"/>
      <c r="H65" s="154"/>
      <c r="I65" s="154"/>
      <c r="J65" s="154"/>
      <c r="K65" s="154"/>
      <c r="L65" s="154"/>
      <c r="M65" s="154"/>
      <c r="N65" s="164"/>
      <c r="O65" s="154"/>
      <c r="P65" s="154"/>
      <c r="Q65" s="163"/>
      <c r="R65" s="154"/>
      <c r="S65" s="154"/>
      <c r="T65" s="154"/>
      <c r="U65" s="163"/>
      <c r="V65" s="163"/>
      <c r="W65" s="163"/>
      <c r="X65" s="167"/>
      <c r="Y65" s="163"/>
      <c r="Z65" s="163"/>
      <c r="AA65" s="168">
        <f>+(SUM(Z9:Z64))</f>
        <v>1438900.7867460002</v>
      </c>
    </row>
    <row r="66" spans="1:27">
      <c r="A66" s="159">
        <v>1</v>
      </c>
      <c r="B66" s="51" t="s">
        <v>229</v>
      </c>
      <c r="C66" s="51" t="s">
        <v>34</v>
      </c>
      <c r="D66" s="51"/>
      <c r="E66" s="151">
        <v>42174</v>
      </c>
      <c r="F66" s="170">
        <f>'A.1.0_TablaAntigüedad_Sub'!K66</f>
        <v>14</v>
      </c>
      <c r="G66" s="51"/>
      <c r="H66" s="171">
        <v>1</v>
      </c>
      <c r="I66" s="172">
        <f>'A.0_Tablas salariales SC'!$V$13</f>
        <v>1240.55</v>
      </c>
      <c r="J66" s="172">
        <f>'A.1.0_TablaAntigüedad_Sub'!V66</f>
        <v>175.53</v>
      </c>
      <c r="K66" s="172">
        <f t="shared" ref="K66:K90" si="16">I66+J66</f>
        <v>1416.08</v>
      </c>
      <c r="L66" s="172">
        <f t="shared" ref="L66:L90" si="17">I66+J66</f>
        <v>1416.08</v>
      </c>
      <c r="M66" s="172">
        <f>'A.0_Tablas salariales SC'!$AA$13</f>
        <v>450</v>
      </c>
      <c r="N66" s="172">
        <f t="shared" ref="N66:N90" si="18">I66*0.25*0</f>
        <v>0</v>
      </c>
      <c r="O66" s="172"/>
      <c r="P66" s="172">
        <v>0</v>
      </c>
      <c r="Q66" s="172">
        <f t="shared" ref="Q66:Q90" si="19">IF(A66&gt;0,((I66*I$4)+(J66*J$4)+(K66*K$4)+(P66*P$4)+(L66*L$4)+(M66*M$4)+(N66*N$4)+(O66*O$4)),0)</f>
        <v>21691.199999999997</v>
      </c>
      <c r="R66" s="172">
        <f>'A.0_Tablas salariales SC'!$X$13</f>
        <v>115.69</v>
      </c>
      <c r="S66" s="172">
        <f>'A.0_Tablas salariales SC'!$W$13</f>
        <v>34.71</v>
      </c>
      <c r="T66" s="172"/>
      <c r="U66" s="172">
        <f t="shared" ref="U66:U90" si="20">(R66*R$4)+(S66*S$4)+T66</f>
        <v>1804.8</v>
      </c>
      <c r="V66" s="172">
        <f>+Q66+U66</f>
        <v>23495.999999999996</v>
      </c>
      <c r="W66" s="172">
        <f t="shared" ref="W66:W90" si="21">V66*H66*A66</f>
        <v>23495.999999999996</v>
      </c>
      <c r="X66" s="173">
        <v>0.34599999999999997</v>
      </c>
      <c r="Y66" s="172">
        <f t="shared" si="6"/>
        <v>8129.6159999999982</v>
      </c>
      <c r="Z66" s="172">
        <f t="shared" ref="Z66:Z90" si="22">W66+Y66</f>
        <v>31625.615999999995</v>
      </c>
      <c r="AA66" s="166"/>
    </row>
    <row r="67" spans="1:27">
      <c r="A67" s="159">
        <v>1</v>
      </c>
      <c r="B67" s="51" t="s">
        <v>229</v>
      </c>
      <c r="C67" s="51" t="s">
        <v>228</v>
      </c>
      <c r="D67" s="51"/>
      <c r="E67" s="151">
        <v>42174</v>
      </c>
      <c r="F67" s="170">
        <f>'A.1.0_TablaAntigüedad_Sub'!K67</f>
        <v>14</v>
      </c>
      <c r="G67" s="51"/>
      <c r="H67" s="171">
        <v>1</v>
      </c>
      <c r="I67" s="172">
        <f>'A.0_Tablas salariales SC'!$V$13</f>
        <v>1240.55</v>
      </c>
      <c r="J67" s="172">
        <f>'A.1.0_TablaAntigüedad_Sub'!V67</f>
        <v>175.53</v>
      </c>
      <c r="K67" s="172">
        <f t="shared" si="16"/>
        <v>1416.08</v>
      </c>
      <c r="L67" s="172">
        <f t="shared" si="17"/>
        <v>1416.08</v>
      </c>
      <c r="M67" s="172">
        <f>'A.0_Tablas salariales SC'!$AA$13</f>
        <v>450</v>
      </c>
      <c r="N67" s="172">
        <f t="shared" si="18"/>
        <v>0</v>
      </c>
      <c r="O67" s="172"/>
      <c r="P67" s="172">
        <v>0</v>
      </c>
      <c r="Q67" s="172">
        <f t="shared" si="19"/>
        <v>21691.199999999997</v>
      </c>
      <c r="R67" s="172">
        <f>'A.0_Tablas salariales SC'!$X$13</f>
        <v>115.69</v>
      </c>
      <c r="S67" s="172">
        <f>'A.0_Tablas salariales SC'!$W$13</f>
        <v>34.71</v>
      </c>
      <c r="T67" s="172"/>
      <c r="U67" s="172">
        <f t="shared" si="20"/>
        <v>1804.8</v>
      </c>
      <c r="V67" s="172">
        <f t="shared" ref="V67:V90" si="23">+Q67+U67</f>
        <v>23495.999999999996</v>
      </c>
      <c r="W67" s="172">
        <f t="shared" si="21"/>
        <v>23495.999999999996</v>
      </c>
      <c r="X67" s="173">
        <v>0.34599999999999997</v>
      </c>
      <c r="Y67" s="172">
        <f t="shared" si="6"/>
        <v>8129.6159999999982</v>
      </c>
      <c r="Z67" s="172">
        <f t="shared" si="22"/>
        <v>31625.615999999995</v>
      </c>
      <c r="AA67" s="166"/>
    </row>
    <row r="68" spans="1:27">
      <c r="A68" s="159">
        <v>1</v>
      </c>
      <c r="B68" s="51" t="s">
        <v>229</v>
      </c>
      <c r="C68" s="51" t="s">
        <v>228</v>
      </c>
      <c r="D68" s="51"/>
      <c r="E68" s="151">
        <v>43270</v>
      </c>
      <c r="F68" s="170">
        <f>'A.1.0_TablaAntigüedad_Sub'!K68</f>
        <v>11</v>
      </c>
      <c r="G68" s="51"/>
      <c r="H68" s="171">
        <v>1</v>
      </c>
      <c r="I68" s="172">
        <f>'A.0_Tablas salariales SC'!$V$13</f>
        <v>1240.55</v>
      </c>
      <c r="J68" s="172">
        <f>'A.1.0_TablaAntigüedad_Sub'!V68</f>
        <v>175.53</v>
      </c>
      <c r="K68" s="172">
        <f t="shared" si="16"/>
        <v>1416.08</v>
      </c>
      <c r="L68" s="172">
        <f t="shared" si="17"/>
        <v>1416.08</v>
      </c>
      <c r="M68" s="172">
        <f>'A.0_Tablas salariales SC'!$AA$13</f>
        <v>450</v>
      </c>
      <c r="N68" s="172">
        <f t="shared" si="18"/>
        <v>0</v>
      </c>
      <c r="O68" s="172"/>
      <c r="P68" s="172">
        <v>0</v>
      </c>
      <c r="Q68" s="172">
        <f t="shared" si="19"/>
        <v>21691.199999999997</v>
      </c>
      <c r="R68" s="172">
        <f>'A.0_Tablas salariales SC'!$X$13</f>
        <v>115.69</v>
      </c>
      <c r="S68" s="172">
        <f>'A.0_Tablas salariales SC'!$W$13</f>
        <v>34.71</v>
      </c>
      <c r="T68" s="172"/>
      <c r="U68" s="172">
        <f t="shared" si="20"/>
        <v>1804.8</v>
      </c>
      <c r="V68" s="172">
        <f t="shared" si="23"/>
        <v>23495.999999999996</v>
      </c>
      <c r="W68" s="172">
        <f t="shared" si="21"/>
        <v>23495.999999999996</v>
      </c>
      <c r="X68" s="173">
        <v>0.34599999999999997</v>
      </c>
      <c r="Y68" s="172">
        <f t="shared" si="6"/>
        <v>8129.6159999999982</v>
      </c>
      <c r="Z68" s="172">
        <f t="shared" si="22"/>
        <v>31625.615999999995</v>
      </c>
      <c r="AA68" s="166"/>
    </row>
    <row r="69" spans="1:27">
      <c r="A69" s="159">
        <v>1</v>
      </c>
      <c r="B69" s="51" t="s">
        <v>229</v>
      </c>
      <c r="C69" s="51" t="s">
        <v>34</v>
      </c>
      <c r="D69" s="51"/>
      <c r="E69" s="151">
        <v>38749</v>
      </c>
      <c r="F69" s="170">
        <f>'A.1.0_TablaAntigüedad_Sub'!K69</f>
        <v>23</v>
      </c>
      <c r="G69" s="51"/>
      <c r="H69" s="171">
        <v>1</v>
      </c>
      <c r="I69" s="172">
        <f>'A.0_Tablas salariales SC'!$V$13</f>
        <v>1240.55</v>
      </c>
      <c r="J69" s="172">
        <f>'A.1.0_TablaAntigüedad_Sub'!V69</f>
        <v>343.31</v>
      </c>
      <c r="K69" s="172">
        <f t="shared" si="16"/>
        <v>1583.86</v>
      </c>
      <c r="L69" s="172">
        <f t="shared" si="17"/>
        <v>1583.86</v>
      </c>
      <c r="M69" s="172">
        <f>'A.0_Tablas salariales SC'!$AA$13</f>
        <v>450</v>
      </c>
      <c r="N69" s="172">
        <f t="shared" si="18"/>
        <v>0</v>
      </c>
      <c r="O69" s="172"/>
      <c r="P69" s="172">
        <v>0</v>
      </c>
      <c r="Q69" s="172">
        <f t="shared" si="19"/>
        <v>24207.9</v>
      </c>
      <c r="R69" s="172">
        <f>'A.0_Tablas salariales SC'!$X$13</f>
        <v>115.69</v>
      </c>
      <c r="S69" s="172">
        <f>'A.0_Tablas salariales SC'!$W$13</f>
        <v>34.71</v>
      </c>
      <c r="T69" s="172"/>
      <c r="U69" s="172">
        <f t="shared" si="20"/>
        <v>1804.8</v>
      </c>
      <c r="V69" s="172">
        <f t="shared" si="23"/>
        <v>26012.7</v>
      </c>
      <c r="W69" s="172">
        <f t="shared" si="21"/>
        <v>26012.7</v>
      </c>
      <c r="X69" s="173">
        <v>0.34599999999999997</v>
      </c>
      <c r="Y69" s="172">
        <f t="shared" si="6"/>
        <v>9000.3941999999988</v>
      </c>
      <c r="Z69" s="172">
        <f t="shared" si="22"/>
        <v>35013.0942</v>
      </c>
      <c r="AA69" s="166"/>
    </row>
    <row r="70" spans="1:27">
      <c r="A70" s="159">
        <v>1</v>
      </c>
      <c r="B70" s="51" t="s">
        <v>229</v>
      </c>
      <c r="C70" s="51" t="s">
        <v>34</v>
      </c>
      <c r="D70" s="51"/>
      <c r="E70" s="151">
        <v>38749</v>
      </c>
      <c r="F70" s="170">
        <f>'A.1.0_TablaAntigüedad_Sub'!K70</f>
        <v>23</v>
      </c>
      <c r="G70" s="51"/>
      <c r="H70" s="171">
        <v>1</v>
      </c>
      <c r="I70" s="172">
        <f>'A.0_Tablas salariales SC'!$V$13</f>
        <v>1240.55</v>
      </c>
      <c r="J70" s="172">
        <f>'A.1.0_TablaAntigüedad_Sub'!V70</f>
        <v>343.31</v>
      </c>
      <c r="K70" s="172">
        <f t="shared" si="16"/>
        <v>1583.86</v>
      </c>
      <c r="L70" s="172">
        <f t="shared" si="17"/>
        <v>1583.86</v>
      </c>
      <c r="M70" s="172">
        <f>'A.0_Tablas salariales SC'!$AA$13</f>
        <v>450</v>
      </c>
      <c r="N70" s="172">
        <f t="shared" si="18"/>
        <v>0</v>
      </c>
      <c r="O70" s="172"/>
      <c r="P70" s="172">
        <v>0</v>
      </c>
      <c r="Q70" s="172">
        <f t="shared" si="19"/>
        <v>24207.9</v>
      </c>
      <c r="R70" s="172">
        <f>'A.0_Tablas salariales SC'!$X$13</f>
        <v>115.69</v>
      </c>
      <c r="S70" s="172">
        <f>'A.0_Tablas salariales SC'!$W$13</f>
        <v>34.71</v>
      </c>
      <c r="T70" s="172"/>
      <c r="U70" s="172">
        <f t="shared" si="20"/>
        <v>1804.8</v>
      </c>
      <c r="V70" s="172">
        <f t="shared" si="23"/>
        <v>26012.7</v>
      </c>
      <c r="W70" s="172">
        <f t="shared" si="21"/>
        <v>26012.7</v>
      </c>
      <c r="X70" s="173">
        <v>0.34599999999999997</v>
      </c>
      <c r="Y70" s="172">
        <f t="shared" si="6"/>
        <v>9000.3941999999988</v>
      </c>
      <c r="Z70" s="172">
        <f t="shared" si="22"/>
        <v>35013.0942</v>
      </c>
      <c r="AA70" s="166"/>
    </row>
    <row r="71" spans="1:27">
      <c r="A71" s="159">
        <v>1</v>
      </c>
      <c r="B71" s="51" t="s">
        <v>229</v>
      </c>
      <c r="C71" s="51" t="s">
        <v>34</v>
      </c>
      <c r="D71" s="51"/>
      <c r="E71" s="151">
        <v>40196</v>
      </c>
      <c r="F71" s="170">
        <f>'A.1.0_TablaAntigüedad_Sub'!K71</f>
        <v>19</v>
      </c>
      <c r="G71" s="51"/>
      <c r="H71" s="171">
        <v>1</v>
      </c>
      <c r="I71" s="172">
        <f>'A.0_Tablas salariales SC'!$V$13</f>
        <v>1240.55</v>
      </c>
      <c r="J71" s="172">
        <f>'A.1.0_TablaAntigüedad_Sub'!V71</f>
        <v>264.41000000000003</v>
      </c>
      <c r="K71" s="172">
        <f t="shared" si="16"/>
        <v>1504.96</v>
      </c>
      <c r="L71" s="172">
        <f t="shared" si="17"/>
        <v>1504.96</v>
      </c>
      <c r="M71" s="172">
        <f>'A.0_Tablas salariales SC'!$AA$13</f>
        <v>450</v>
      </c>
      <c r="N71" s="172">
        <f t="shared" si="18"/>
        <v>0</v>
      </c>
      <c r="O71" s="172"/>
      <c r="P71" s="172">
        <v>0</v>
      </c>
      <c r="Q71" s="172">
        <f t="shared" si="19"/>
        <v>23024.399999999994</v>
      </c>
      <c r="R71" s="172">
        <f>'A.0_Tablas salariales SC'!$X$13</f>
        <v>115.69</v>
      </c>
      <c r="S71" s="172">
        <f>'A.0_Tablas salariales SC'!$W$13</f>
        <v>34.71</v>
      </c>
      <c r="T71" s="172"/>
      <c r="U71" s="172">
        <f t="shared" si="20"/>
        <v>1804.8</v>
      </c>
      <c r="V71" s="172">
        <f t="shared" si="23"/>
        <v>24829.199999999993</v>
      </c>
      <c r="W71" s="172">
        <f t="shared" si="21"/>
        <v>24829.199999999993</v>
      </c>
      <c r="X71" s="173">
        <v>0.34599999999999997</v>
      </c>
      <c r="Y71" s="172">
        <f t="shared" si="6"/>
        <v>8590.903199999997</v>
      </c>
      <c r="Z71" s="172">
        <f t="shared" si="22"/>
        <v>33420.10319999999</v>
      </c>
      <c r="AA71" s="166"/>
    </row>
    <row r="72" spans="1:27">
      <c r="A72" s="159">
        <v>1</v>
      </c>
      <c r="B72" s="51" t="s">
        <v>229</v>
      </c>
      <c r="C72" s="51" t="s">
        <v>34</v>
      </c>
      <c r="D72" s="51"/>
      <c r="E72" s="151">
        <v>38749</v>
      </c>
      <c r="F72" s="170">
        <f>'A.1.0_TablaAntigüedad_Sub'!K72</f>
        <v>23</v>
      </c>
      <c r="G72" s="51"/>
      <c r="H72" s="171">
        <v>1</v>
      </c>
      <c r="I72" s="172">
        <f>'A.0_Tablas salariales SC'!$V$13</f>
        <v>1240.55</v>
      </c>
      <c r="J72" s="172">
        <f>'A.1.0_TablaAntigüedad_Sub'!V72</f>
        <v>343.31</v>
      </c>
      <c r="K72" s="172">
        <f t="shared" si="16"/>
        <v>1583.86</v>
      </c>
      <c r="L72" s="172">
        <f t="shared" si="17"/>
        <v>1583.86</v>
      </c>
      <c r="M72" s="172">
        <f>'A.0_Tablas salariales SC'!$AA$13</f>
        <v>450</v>
      </c>
      <c r="N72" s="172">
        <f t="shared" si="18"/>
        <v>0</v>
      </c>
      <c r="O72" s="172"/>
      <c r="P72" s="172">
        <v>0</v>
      </c>
      <c r="Q72" s="172">
        <f t="shared" si="19"/>
        <v>24207.9</v>
      </c>
      <c r="R72" s="172">
        <f>'A.0_Tablas salariales SC'!$X$13</f>
        <v>115.69</v>
      </c>
      <c r="S72" s="172">
        <f>'A.0_Tablas salariales SC'!$W$13</f>
        <v>34.71</v>
      </c>
      <c r="T72" s="172"/>
      <c r="U72" s="172">
        <f t="shared" si="20"/>
        <v>1804.8</v>
      </c>
      <c r="V72" s="172">
        <f t="shared" si="23"/>
        <v>26012.7</v>
      </c>
      <c r="W72" s="172">
        <f t="shared" si="21"/>
        <v>26012.7</v>
      </c>
      <c r="X72" s="173">
        <v>0.34599999999999997</v>
      </c>
      <c r="Y72" s="172">
        <f t="shared" si="6"/>
        <v>9000.3941999999988</v>
      </c>
      <c r="Z72" s="172">
        <f t="shared" si="22"/>
        <v>35013.0942</v>
      </c>
      <c r="AA72" s="166"/>
    </row>
    <row r="73" spans="1:27">
      <c r="A73" s="159">
        <v>1</v>
      </c>
      <c r="B73" s="51" t="s">
        <v>229</v>
      </c>
      <c r="C73" s="51" t="s">
        <v>228</v>
      </c>
      <c r="D73" s="51"/>
      <c r="E73" s="151">
        <v>38749</v>
      </c>
      <c r="F73" s="170">
        <f>'A.1.0_TablaAntigüedad_Sub'!K73</f>
        <v>23</v>
      </c>
      <c r="G73" s="51"/>
      <c r="H73" s="171">
        <v>1</v>
      </c>
      <c r="I73" s="172">
        <f>'A.0_Tablas salariales SC'!$V$13</f>
        <v>1240.55</v>
      </c>
      <c r="J73" s="172">
        <f>'A.1.0_TablaAntigüedad_Sub'!V73</f>
        <v>343.31</v>
      </c>
      <c r="K73" s="172">
        <f t="shared" si="16"/>
        <v>1583.86</v>
      </c>
      <c r="L73" s="172">
        <f t="shared" si="17"/>
        <v>1583.86</v>
      </c>
      <c r="M73" s="172">
        <f>'A.0_Tablas salariales SC'!$AA$13</f>
        <v>450</v>
      </c>
      <c r="N73" s="172">
        <f t="shared" si="18"/>
        <v>0</v>
      </c>
      <c r="O73" s="172"/>
      <c r="P73" s="172">
        <v>0</v>
      </c>
      <c r="Q73" s="172">
        <f t="shared" si="19"/>
        <v>24207.9</v>
      </c>
      <c r="R73" s="172">
        <f>'A.0_Tablas salariales SC'!$X$13</f>
        <v>115.69</v>
      </c>
      <c r="S73" s="172">
        <f>'A.0_Tablas salariales SC'!$W$13</f>
        <v>34.71</v>
      </c>
      <c r="T73" s="172"/>
      <c r="U73" s="172">
        <f t="shared" si="20"/>
        <v>1804.8</v>
      </c>
      <c r="V73" s="172">
        <f t="shared" si="23"/>
        <v>26012.7</v>
      </c>
      <c r="W73" s="172">
        <f t="shared" si="21"/>
        <v>26012.7</v>
      </c>
      <c r="X73" s="173">
        <v>0.34599999999999997</v>
      </c>
      <c r="Y73" s="172">
        <f t="shared" si="6"/>
        <v>9000.3941999999988</v>
      </c>
      <c r="Z73" s="172">
        <f t="shared" si="22"/>
        <v>35013.0942</v>
      </c>
      <c r="AA73" s="166"/>
    </row>
    <row r="74" spans="1:27">
      <c r="A74" s="159">
        <v>1</v>
      </c>
      <c r="B74" s="51" t="s">
        <v>229</v>
      </c>
      <c r="C74" s="51" t="s">
        <v>34</v>
      </c>
      <c r="D74" s="51"/>
      <c r="E74" s="151">
        <v>35827</v>
      </c>
      <c r="F74" s="170">
        <f>'A.1.0_TablaAntigüedad_Sub'!K74</f>
        <v>31</v>
      </c>
      <c r="G74" s="51"/>
      <c r="H74" s="171">
        <v>1</v>
      </c>
      <c r="I74" s="172">
        <f>'A.0_Tablas salariales SC'!$V$13</f>
        <v>1240.55</v>
      </c>
      <c r="J74" s="172">
        <f>'A.1.0_TablaAntigüedad_Sub'!V74</f>
        <v>421.15</v>
      </c>
      <c r="K74" s="172">
        <f t="shared" si="16"/>
        <v>1661.6999999999998</v>
      </c>
      <c r="L74" s="172">
        <f t="shared" si="17"/>
        <v>1661.6999999999998</v>
      </c>
      <c r="M74" s="172">
        <f>'A.0_Tablas salariales SC'!$AA$13</f>
        <v>450</v>
      </c>
      <c r="N74" s="172">
        <f t="shared" si="18"/>
        <v>0</v>
      </c>
      <c r="O74" s="172"/>
      <c r="P74" s="172">
        <v>0</v>
      </c>
      <c r="Q74" s="172">
        <f t="shared" si="19"/>
        <v>25375.499999999996</v>
      </c>
      <c r="R74" s="172">
        <f>'A.0_Tablas salariales SC'!$X$13</f>
        <v>115.69</v>
      </c>
      <c r="S74" s="172">
        <f>'A.0_Tablas salariales SC'!$W$13</f>
        <v>34.71</v>
      </c>
      <c r="T74" s="172"/>
      <c r="U74" s="172">
        <f t="shared" si="20"/>
        <v>1804.8</v>
      </c>
      <c r="V74" s="172">
        <f t="shared" si="23"/>
        <v>27180.299999999996</v>
      </c>
      <c r="W74" s="172">
        <f t="shared" si="21"/>
        <v>27180.299999999996</v>
      </c>
      <c r="X74" s="173">
        <v>0.34599999999999997</v>
      </c>
      <c r="Y74" s="172">
        <f t="shared" si="6"/>
        <v>9404.3837999999978</v>
      </c>
      <c r="Z74" s="172">
        <f t="shared" si="22"/>
        <v>36584.683799999992</v>
      </c>
      <c r="AA74" s="166"/>
    </row>
    <row r="75" spans="1:27">
      <c r="A75" s="159">
        <v>1</v>
      </c>
      <c r="B75" s="51" t="s">
        <v>229</v>
      </c>
      <c r="C75" s="51" t="s">
        <v>34</v>
      </c>
      <c r="D75" s="51"/>
      <c r="E75" s="151">
        <v>38749</v>
      </c>
      <c r="F75" s="170">
        <f>'A.1.0_TablaAntigüedad_Sub'!K75</f>
        <v>23</v>
      </c>
      <c r="G75" s="51"/>
      <c r="H75" s="171">
        <v>1</v>
      </c>
      <c r="I75" s="172">
        <f>'A.0_Tablas salariales SC'!$V$13</f>
        <v>1240.55</v>
      </c>
      <c r="J75" s="172">
        <f>'A.1.0_TablaAntigüedad_Sub'!V75</f>
        <v>343.31</v>
      </c>
      <c r="K75" s="172">
        <f t="shared" si="16"/>
        <v>1583.86</v>
      </c>
      <c r="L75" s="172">
        <f t="shared" si="17"/>
        <v>1583.86</v>
      </c>
      <c r="M75" s="172">
        <f>'A.0_Tablas salariales SC'!$AA$13</f>
        <v>450</v>
      </c>
      <c r="N75" s="172">
        <f t="shared" si="18"/>
        <v>0</v>
      </c>
      <c r="O75" s="172"/>
      <c r="P75" s="172">
        <v>0</v>
      </c>
      <c r="Q75" s="172">
        <f t="shared" si="19"/>
        <v>24207.9</v>
      </c>
      <c r="R75" s="172">
        <f>'A.0_Tablas salariales SC'!$X$13</f>
        <v>115.69</v>
      </c>
      <c r="S75" s="172">
        <f>'A.0_Tablas salariales SC'!$W$13</f>
        <v>34.71</v>
      </c>
      <c r="T75" s="172"/>
      <c r="U75" s="172">
        <f t="shared" si="20"/>
        <v>1804.8</v>
      </c>
      <c r="V75" s="172">
        <f t="shared" si="23"/>
        <v>26012.7</v>
      </c>
      <c r="W75" s="172">
        <f t="shared" si="21"/>
        <v>26012.7</v>
      </c>
      <c r="X75" s="173">
        <v>0.34599999999999997</v>
      </c>
      <c r="Y75" s="172">
        <f t="shared" si="6"/>
        <v>9000.3941999999988</v>
      </c>
      <c r="Z75" s="172">
        <f t="shared" si="22"/>
        <v>35013.0942</v>
      </c>
      <c r="AA75" s="166"/>
    </row>
    <row r="76" spans="1:27">
      <c r="A76" s="159">
        <v>1</v>
      </c>
      <c r="B76" s="51" t="s">
        <v>229</v>
      </c>
      <c r="C76" s="51" t="s">
        <v>228</v>
      </c>
      <c r="D76" s="51"/>
      <c r="E76" s="151">
        <v>38932</v>
      </c>
      <c r="F76" s="170">
        <f>'A.1.0_TablaAntigüedad_Sub'!K76</f>
        <v>23</v>
      </c>
      <c r="G76" s="51"/>
      <c r="H76" s="171">
        <v>1</v>
      </c>
      <c r="I76" s="172">
        <f>'A.0_Tablas salariales SC'!$V$13</f>
        <v>1240.55</v>
      </c>
      <c r="J76" s="172">
        <f>'A.1.0_TablaAntigüedad_Sub'!V76</f>
        <v>343.31</v>
      </c>
      <c r="K76" s="172">
        <f t="shared" si="16"/>
        <v>1583.86</v>
      </c>
      <c r="L76" s="172">
        <f t="shared" si="17"/>
        <v>1583.86</v>
      </c>
      <c r="M76" s="172">
        <f>'A.0_Tablas salariales SC'!$AA$13</f>
        <v>450</v>
      </c>
      <c r="N76" s="172">
        <f t="shared" si="18"/>
        <v>0</v>
      </c>
      <c r="O76" s="172"/>
      <c r="P76" s="172">
        <v>0</v>
      </c>
      <c r="Q76" s="172">
        <f t="shared" si="19"/>
        <v>24207.9</v>
      </c>
      <c r="R76" s="172">
        <f>'A.0_Tablas salariales SC'!$X$13</f>
        <v>115.69</v>
      </c>
      <c r="S76" s="172">
        <f>'A.0_Tablas salariales SC'!$W$13</f>
        <v>34.71</v>
      </c>
      <c r="T76" s="172"/>
      <c r="U76" s="172">
        <f t="shared" si="20"/>
        <v>1804.8</v>
      </c>
      <c r="V76" s="172">
        <f t="shared" si="23"/>
        <v>26012.7</v>
      </c>
      <c r="W76" s="172">
        <f t="shared" si="21"/>
        <v>26012.7</v>
      </c>
      <c r="X76" s="173">
        <v>0.34599999999999997</v>
      </c>
      <c r="Y76" s="172">
        <f t="shared" si="6"/>
        <v>9000.3941999999988</v>
      </c>
      <c r="Z76" s="172">
        <f t="shared" si="22"/>
        <v>35013.0942</v>
      </c>
      <c r="AA76" s="166"/>
    </row>
    <row r="77" spans="1:27">
      <c r="A77" s="159">
        <v>1</v>
      </c>
      <c r="B77" s="51" t="s">
        <v>229</v>
      </c>
      <c r="C77" s="51" t="s">
        <v>228</v>
      </c>
      <c r="D77" s="51"/>
      <c r="E77" s="151">
        <v>38932</v>
      </c>
      <c r="F77" s="170">
        <f>'A.1.0_TablaAntigüedad_Sub'!K77</f>
        <v>23</v>
      </c>
      <c r="G77" s="51"/>
      <c r="H77" s="171">
        <v>1</v>
      </c>
      <c r="I77" s="172">
        <f>'A.0_Tablas salariales SC'!$V$13</f>
        <v>1240.55</v>
      </c>
      <c r="J77" s="172">
        <f>'A.1.0_TablaAntigüedad_Sub'!V77</f>
        <v>343.31</v>
      </c>
      <c r="K77" s="172">
        <f t="shared" si="16"/>
        <v>1583.86</v>
      </c>
      <c r="L77" s="172">
        <f t="shared" si="17"/>
        <v>1583.86</v>
      </c>
      <c r="M77" s="172">
        <f>'A.0_Tablas salariales SC'!$AA$13</f>
        <v>450</v>
      </c>
      <c r="N77" s="172">
        <f t="shared" si="18"/>
        <v>0</v>
      </c>
      <c r="O77" s="172"/>
      <c r="P77" s="172">
        <v>0</v>
      </c>
      <c r="Q77" s="172">
        <f t="shared" si="19"/>
        <v>24207.9</v>
      </c>
      <c r="R77" s="172">
        <f>'A.0_Tablas salariales SC'!$X$13</f>
        <v>115.69</v>
      </c>
      <c r="S77" s="172">
        <f>'A.0_Tablas salariales SC'!$W$13</f>
        <v>34.71</v>
      </c>
      <c r="T77" s="172"/>
      <c r="U77" s="172">
        <f t="shared" si="20"/>
        <v>1804.8</v>
      </c>
      <c r="V77" s="172">
        <f t="shared" si="23"/>
        <v>26012.7</v>
      </c>
      <c r="W77" s="172">
        <f t="shared" si="21"/>
        <v>26012.7</v>
      </c>
      <c r="X77" s="173">
        <v>0.34599999999999997</v>
      </c>
      <c r="Y77" s="172">
        <f t="shared" si="6"/>
        <v>9000.3941999999988</v>
      </c>
      <c r="Z77" s="172">
        <f t="shared" si="22"/>
        <v>35013.0942</v>
      </c>
      <c r="AA77" s="166"/>
    </row>
    <row r="78" spans="1:27">
      <c r="A78" s="159">
        <v>1</v>
      </c>
      <c r="B78" s="51" t="s">
        <v>229</v>
      </c>
      <c r="C78" s="51" t="s">
        <v>34</v>
      </c>
      <c r="D78" s="51"/>
      <c r="E78" s="151">
        <v>39650</v>
      </c>
      <c r="F78" s="170">
        <f>'A.1.0_TablaAntigüedad_Sub'!K78</f>
        <v>21</v>
      </c>
      <c r="G78" s="51"/>
      <c r="H78" s="171">
        <v>1</v>
      </c>
      <c r="I78" s="172">
        <f>'A.0_Tablas salariales SC'!$V$13</f>
        <v>1240.55</v>
      </c>
      <c r="J78" s="172">
        <f>'A.1.0_TablaAntigüedad_Sub'!V78</f>
        <v>280.79000000000002</v>
      </c>
      <c r="K78" s="172">
        <f t="shared" si="16"/>
        <v>1521.34</v>
      </c>
      <c r="L78" s="172">
        <f t="shared" si="17"/>
        <v>1521.34</v>
      </c>
      <c r="M78" s="172">
        <f>'A.0_Tablas salariales SC'!$AA$13</f>
        <v>450</v>
      </c>
      <c r="N78" s="172">
        <f t="shared" si="18"/>
        <v>0</v>
      </c>
      <c r="O78" s="172"/>
      <c r="P78" s="172">
        <v>0</v>
      </c>
      <c r="Q78" s="172">
        <f t="shared" si="19"/>
        <v>23270.1</v>
      </c>
      <c r="R78" s="172">
        <f>'A.0_Tablas salariales SC'!$X$13</f>
        <v>115.69</v>
      </c>
      <c r="S78" s="172">
        <f>'A.0_Tablas salariales SC'!$W$13</f>
        <v>34.71</v>
      </c>
      <c r="T78" s="172"/>
      <c r="U78" s="172">
        <f t="shared" si="20"/>
        <v>1804.8</v>
      </c>
      <c r="V78" s="172">
        <f t="shared" si="23"/>
        <v>25074.899999999998</v>
      </c>
      <c r="W78" s="172">
        <f t="shared" si="21"/>
        <v>25074.899999999998</v>
      </c>
      <c r="X78" s="173">
        <v>0.34599999999999997</v>
      </c>
      <c r="Y78" s="172">
        <f t="shared" si="6"/>
        <v>8675.915399999998</v>
      </c>
      <c r="Z78" s="172">
        <f t="shared" si="22"/>
        <v>33750.815399999992</v>
      </c>
      <c r="AA78" s="166"/>
    </row>
    <row r="79" spans="1:27">
      <c r="A79" s="159">
        <v>1</v>
      </c>
      <c r="B79" s="51" t="s">
        <v>229</v>
      </c>
      <c r="C79" s="51" t="s">
        <v>34</v>
      </c>
      <c r="D79" s="51"/>
      <c r="E79" s="151">
        <v>38749</v>
      </c>
      <c r="F79" s="170">
        <f>'A.1.0_TablaAntigüedad_Sub'!K79</f>
        <v>23</v>
      </c>
      <c r="G79" s="51"/>
      <c r="H79" s="171">
        <v>1</v>
      </c>
      <c r="I79" s="172">
        <f>'A.0_Tablas salariales SC'!$V$13</f>
        <v>1240.55</v>
      </c>
      <c r="J79" s="172">
        <f>'A.1.0_TablaAntigüedad_Sub'!V79</f>
        <v>343.31</v>
      </c>
      <c r="K79" s="172">
        <f t="shared" si="16"/>
        <v>1583.86</v>
      </c>
      <c r="L79" s="172">
        <f t="shared" si="17"/>
        <v>1583.86</v>
      </c>
      <c r="M79" s="172">
        <f>'A.0_Tablas salariales SC'!$AA$13</f>
        <v>450</v>
      </c>
      <c r="N79" s="172">
        <f t="shared" si="18"/>
        <v>0</v>
      </c>
      <c r="O79" s="172"/>
      <c r="P79" s="172">
        <v>0</v>
      </c>
      <c r="Q79" s="172">
        <f t="shared" si="19"/>
        <v>24207.9</v>
      </c>
      <c r="R79" s="172">
        <f>'A.0_Tablas salariales SC'!$X$13</f>
        <v>115.69</v>
      </c>
      <c r="S79" s="172">
        <f>'A.0_Tablas salariales SC'!$W$13</f>
        <v>34.71</v>
      </c>
      <c r="T79" s="172"/>
      <c r="U79" s="172">
        <f t="shared" si="20"/>
        <v>1804.8</v>
      </c>
      <c r="V79" s="172">
        <f t="shared" si="23"/>
        <v>26012.7</v>
      </c>
      <c r="W79" s="172">
        <f t="shared" si="21"/>
        <v>26012.7</v>
      </c>
      <c r="X79" s="173">
        <v>0.34599999999999997</v>
      </c>
      <c r="Y79" s="172">
        <f t="shared" si="6"/>
        <v>9000.3941999999988</v>
      </c>
      <c r="Z79" s="172">
        <f t="shared" si="22"/>
        <v>35013.0942</v>
      </c>
      <c r="AA79" s="166"/>
    </row>
    <row r="80" spans="1:27">
      <c r="A80" s="159">
        <v>1</v>
      </c>
      <c r="B80" s="51" t="s">
        <v>229</v>
      </c>
      <c r="C80" s="51" t="s">
        <v>34</v>
      </c>
      <c r="D80" s="51"/>
      <c r="E80" s="151">
        <v>38749</v>
      </c>
      <c r="F80" s="170">
        <f>'A.1.0_TablaAntigüedad_Sub'!K80</f>
        <v>23</v>
      </c>
      <c r="G80" s="51"/>
      <c r="H80" s="171">
        <v>1</v>
      </c>
      <c r="I80" s="172">
        <f>'A.0_Tablas salariales SC'!$V$13</f>
        <v>1240.55</v>
      </c>
      <c r="J80" s="172">
        <f>'A.1.0_TablaAntigüedad_Sub'!V80</f>
        <v>343.31</v>
      </c>
      <c r="K80" s="172">
        <f t="shared" si="16"/>
        <v>1583.86</v>
      </c>
      <c r="L80" s="172">
        <f t="shared" si="17"/>
        <v>1583.86</v>
      </c>
      <c r="M80" s="172">
        <f>'A.0_Tablas salariales SC'!$AA$13</f>
        <v>450</v>
      </c>
      <c r="N80" s="172">
        <f t="shared" si="18"/>
        <v>0</v>
      </c>
      <c r="O80" s="172"/>
      <c r="P80" s="172">
        <v>0</v>
      </c>
      <c r="Q80" s="172">
        <f t="shared" si="19"/>
        <v>24207.9</v>
      </c>
      <c r="R80" s="172">
        <f>'A.0_Tablas salariales SC'!$X$13</f>
        <v>115.69</v>
      </c>
      <c r="S80" s="172">
        <f>'A.0_Tablas salariales SC'!$W$13</f>
        <v>34.71</v>
      </c>
      <c r="T80" s="172"/>
      <c r="U80" s="172">
        <f t="shared" si="20"/>
        <v>1804.8</v>
      </c>
      <c r="V80" s="172">
        <f t="shared" si="23"/>
        <v>26012.7</v>
      </c>
      <c r="W80" s="172">
        <f t="shared" si="21"/>
        <v>26012.7</v>
      </c>
      <c r="X80" s="173">
        <v>0.34599999999999997</v>
      </c>
      <c r="Y80" s="172">
        <f t="shared" si="6"/>
        <v>9000.3941999999988</v>
      </c>
      <c r="Z80" s="172">
        <f t="shared" si="22"/>
        <v>35013.0942</v>
      </c>
      <c r="AA80" s="166"/>
    </row>
    <row r="81" spans="1:27">
      <c r="A81" s="159">
        <v>1</v>
      </c>
      <c r="B81" s="51" t="s">
        <v>229</v>
      </c>
      <c r="C81" s="51" t="s">
        <v>34</v>
      </c>
      <c r="D81" s="51"/>
      <c r="E81" s="151">
        <v>40196</v>
      </c>
      <c r="F81" s="170">
        <f>'A.1.0_TablaAntigüedad_Sub'!K81</f>
        <v>19</v>
      </c>
      <c r="G81" s="51"/>
      <c r="H81" s="171">
        <v>1</v>
      </c>
      <c r="I81" s="172">
        <f>'A.0_Tablas salariales SC'!$V$13</f>
        <v>1240.55</v>
      </c>
      <c r="J81" s="172">
        <f>'A.1.0_TablaAntigüedad_Sub'!V81</f>
        <v>264.41000000000003</v>
      </c>
      <c r="K81" s="172">
        <f t="shared" si="16"/>
        <v>1504.96</v>
      </c>
      <c r="L81" s="172">
        <f t="shared" si="17"/>
        <v>1504.96</v>
      </c>
      <c r="M81" s="172">
        <f>'A.0_Tablas salariales SC'!$AA$13</f>
        <v>450</v>
      </c>
      <c r="N81" s="172">
        <f t="shared" si="18"/>
        <v>0</v>
      </c>
      <c r="O81" s="172"/>
      <c r="P81" s="172">
        <v>0</v>
      </c>
      <c r="Q81" s="172">
        <f t="shared" si="19"/>
        <v>23024.399999999994</v>
      </c>
      <c r="R81" s="172">
        <f>'A.0_Tablas salariales SC'!$X$13</f>
        <v>115.69</v>
      </c>
      <c r="S81" s="172">
        <f>'A.0_Tablas salariales SC'!$W$13</f>
        <v>34.71</v>
      </c>
      <c r="T81" s="172"/>
      <c r="U81" s="172">
        <f t="shared" si="20"/>
        <v>1804.8</v>
      </c>
      <c r="V81" s="172">
        <f t="shared" si="23"/>
        <v>24829.199999999993</v>
      </c>
      <c r="W81" s="172">
        <f t="shared" si="21"/>
        <v>24829.199999999993</v>
      </c>
      <c r="X81" s="173">
        <v>0.34599999999999997</v>
      </c>
      <c r="Y81" s="172">
        <f t="shared" si="6"/>
        <v>8590.903199999997</v>
      </c>
      <c r="Z81" s="172">
        <f t="shared" si="22"/>
        <v>33420.10319999999</v>
      </c>
      <c r="AA81" s="166"/>
    </row>
    <row r="82" spans="1:27">
      <c r="A82" s="159">
        <v>1</v>
      </c>
      <c r="B82" s="51" t="s">
        <v>229</v>
      </c>
      <c r="C82" s="51" t="s">
        <v>228</v>
      </c>
      <c r="D82" s="51"/>
      <c r="E82" s="151">
        <v>38749</v>
      </c>
      <c r="F82" s="170">
        <f>'A.1.0_TablaAntigüedad_Sub'!K82</f>
        <v>23</v>
      </c>
      <c r="G82" s="51"/>
      <c r="H82" s="171">
        <v>1</v>
      </c>
      <c r="I82" s="172">
        <f>'A.0_Tablas salariales SC'!$V$13</f>
        <v>1240.55</v>
      </c>
      <c r="J82" s="172">
        <f>'A.1.0_TablaAntigüedad_Sub'!V82</f>
        <v>343.31</v>
      </c>
      <c r="K82" s="172">
        <f t="shared" si="16"/>
        <v>1583.86</v>
      </c>
      <c r="L82" s="172">
        <f t="shared" si="17"/>
        <v>1583.86</v>
      </c>
      <c r="M82" s="172">
        <f>'A.0_Tablas salariales SC'!$AA$13</f>
        <v>450</v>
      </c>
      <c r="N82" s="172">
        <f t="shared" si="18"/>
        <v>0</v>
      </c>
      <c r="O82" s="172"/>
      <c r="P82" s="172">
        <v>0</v>
      </c>
      <c r="Q82" s="172">
        <f t="shared" si="19"/>
        <v>24207.9</v>
      </c>
      <c r="R82" s="172">
        <f>'A.0_Tablas salariales SC'!$X$13</f>
        <v>115.69</v>
      </c>
      <c r="S82" s="172">
        <f>'A.0_Tablas salariales SC'!$W$13</f>
        <v>34.71</v>
      </c>
      <c r="T82" s="172"/>
      <c r="U82" s="172">
        <f t="shared" si="20"/>
        <v>1804.8</v>
      </c>
      <c r="V82" s="172">
        <f t="shared" si="23"/>
        <v>26012.7</v>
      </c>
      <c r="W82" s="172">
        <f t="shared" si="21"/>
        <v>26012.7</v>
      </c>
      <c r="X82" s="173">
        <v>0.34599999999999997</v>
      </c>
      <c r="Y82" s="172">
        <f t="shared" si="6"/>
        <v>9000.3941999999988</v>
      </c>
      <c r="Z82" s="172">
        <f t="shared" si="22"/>
        <v>35013.0942</v>
      </c>
      <c r="AA82" s="166"/>
    </row>
    <row r="83" spans="1:27">
      <c r="A83" s="159">
        <v>1</v>
      </c>
      <c r="B83" s="51" t="s">
        <v>229</v>
      </c>
      <c r="C83" s="51" t="s">
        <v>34</v>
      </c>
      <c r="D83" s="51"/>
      <c r="E83" s="151">
        <v>35827</v>
      </c>
      <c r="F83" s="170">
        <f>'A.1.0_TablaAntigüedad_Sub'!K83</f>
        <v>31</v>
      </c>
      <c r="G83" s="51"/>
      <c r="H83" s="171">
        <v>1</v>
      </c>
      <c r="I83" s="172">
        <f>'A.0_Tablas salariales SC'!$V$13</f>
        <v>1240.55</v>
      </c>
      <c r="J83" s="172">
        <f>'A.1.0_TablaAntigüedad_Sub'!V83</f>
        <v>421.15</v>
      </c>
      <c r="K83" s="172">
        <f t="shared" si="16"/>
        <v>1661.6999999999998</v>
      </c>
      <c r="L83" s="172">
        <f t="shared" si="17"/>
        <v>1661.6999999999998</v>
      </c>
      <c r="M83" s="172">
        <f>'A.0_Tablas salariales SC'!$AA$13</f>
        <v>450</v>
      </c>
      <c r="N83" s="172">
        <f t="shared" si="18"/>
        <v>0</v>
      </c>
      <c r="O83" s="172"/>
      <c r="P83" s="172">
        <v>0</v>
      </c>
      <c r="Q83" s="172">
        <f t="shared" si="19"/>
        <v>25375.499999999996</v>
      </c>
      <c r="R83" s="172">
        <f>'A.0_Tablas salariales SC'!$X$13</f>
        <v>115.69</v>
      </c>
      <c r="S83" s="172">
        <f>'A.0_Tablas salariales SC'!$W$13</f>
        <v>34.71</v>
      </c>
      <c r="T83" s="172"/>
      <c r="U83" s="172">
        <f t="shared" si="20"/>
        <v>1804.8</v>
      </c>
      <c r="V83" s="172">
        <f t="shared" si="23"/>
        <v>27180.299999999996</v>
      </c>
      <c r="W83" s="172">
        <f t="shared" si="21"/>
        <v>27180.299999999996</v>
      </c>
      <c r="X83" s="173">
        <v>0.34599999999999997</v>
      </c>
      <c r="Y83" s="172">
        <f t="shared" si="6"/>
        <v>9404.3837999999978</v>
      </c>
      <c r="Z83" s="172">
        <f t="shared" si="22"/>
        <v>36584.683799999992</v>
      </c>
      <c r="AA83" s="166"/>
    </row>
    <row r="84" spans="1:27" hidden="1">
      <c r="A84" s="159">
        <v>0</v>
      </c>
      <c r="B84" s="51" t="s">
        <v>229</v>
      </c>
      <c r="C84" s="51" t="s">
        <v>34</v>
      </c>
      <c r="D84" s="51"/>
      <c r="E84" s="151">
        <v>38749</v>
      </c>
      <c r="F84" s="170">
        <f>'A.1.0_TablaAntigüedad_Sub'!K84</f>
        <v>23</v>
      </c>
      <c r="G84" s="51"/>
      <c r="H84" s="171">
        <v>0.6</v>
      </c>
      <c r="I84" s="172">
        <f>'A.0_Tablas salariales SC'!$V$13</f>
        <v>1240.55</v>
      </c>
      <c r="J84" s="172">
        <f>'A.1.0_TablaAntigüedad_Sub'!V84</f>
        <v>0</v>
      </c>
      <c r="K84" s="172">
        <f t="shared" si="16"/>
        <v>1240.55</v>
      </c>
      <c r="L84" s="172">
        <f t="shared" si="17"/>
        <v>1240.55</v>
      </c>
      <c r="M84" s="172">
        <v>461.42333333333301</v>
      </c>
      <c r="N84" s="172">
        <f t="shared" si="18"/>
        <v>0</v>
      </c>
      <c r="O84" s="172"/>
      <c r="P84" s="172">
        <v>0</v>
      </c>
      <c r="Q84" s="172">
        <f t="shared" si="19"/>
        <v>0</v>
      </c>
      <c r="R84" s="172">
        <v>118.63</v>
      </c>
      <c r="S84" s="172">
        <v>35.593333333333298</v>
      </c>
      <c r="T84" s="172"/>
      <c r="U84" s="172">
        <f t="shared" si="20"/>
        <v>1850.6799999999994</v>
      </c>
      <c r="V84" s="172">
        <f t="shared" si="23"/>
        <v>1850.6799999999994</v>
      </c>
      <c r="W84" s="172">
        <f t="shared" si="21"/>
        <v>0</v>
      </c>
      <c r="X84" s="173">
        <v>0.34599999999999997</v>
      </c>
      <c r="Y84" s="172">
        <f t="shared" si="6"/>
        <v>0</v>
      </c>
      <c r="Z84" s="172">
        <f t="shared" si="22"/>
        <v>0</v>
      </c>
      <c r="AA84" s="166"/>
    </row>
    <row r="85" spans="1:27" hidden="1">
      <c r="A85" s="159">
        <v>0</v>
      </c>
      <c r="B85" s="51" t="s">
        <v>229</v>
      </c>
      <c r="C85" s="51" t="s">
        <v>228</v>
      </c>
      <c r="D85" s="51"/>
      <c r="E85" s="151">
        <v>38932</v>
      </c>
      <c r="F85" s="170">
        <f>'A.1.0_TablaAntigüedad_Sub'!K85</f>
        <v>23</v>
      </c>
      <c r="G85" s="51"/>
      <c r="H85" s="171">
        <v>1</v>
      </c>
      <c r="I85" s="172">
        <f>'A.0_Tablas salariales SC'!$V$13</f>
        <v>1240.55</v>
      </c>
      <c r="J85" s="172">
        <f>'A.1.0_TablaAntigüedad_Sub'!V85</f>
        <v>0</v>
      </c>
      <c r="K85" s="172">
        <f t="shared" si="16"/>
        <v>1240.55</v>
      </c>
      <c r="L85" s="172">
        <f t="shared" si="17"/>
        <v>1240.55</v>
      </c>
      <c r="M85" s="172">
        <v>461.42333333333301</v>
      </c>
      <c r="N85" s="172">
        <f t="shared" si="18"/>
        <v>0</v>
      </c>
      <c r="O85" s="172"/>
      <c r="P85" s="172">
        <v>0</v>
      </c>
      <c r="Q85" s="172">
        <f t="shared" si="19"/>
        <v>0</v>
      </c>
      <c r="R85" s="172">
        <v>118.63</v>
      </c>
      <c r="S85" s="172">
        <v>35.593333333333298</v>
      </c>
      <c r="T85" s="172"/>
      <c r="U85" s="172">
        <f t="shared" si="20"/>
        <v>1850.6799999999994</v>
      </c>
      <c r="V85" s="172">
        <f t="shared" si="23"/>
        <v>1850.6799999999994</v>
      </c>
      <c r="W85" s="172">
        <f t="shared" si="21"/>
        <v>0</v>
      </c>
      <c r="X85" s="173">
        <v>0.34599999999999997</v>
      </c>
      <c r="Y85" s="172">
        <f t="shared" si="6"/>
        <v>0</v>
      </c>
      <c r="Z85" s="172">
        <f t="shared" si="22"/>
        <v>0</v>
      </c>
      <c r="AA85" s="166"/>
    </row>
    <row r="86" spans="1:27" hidden="1">
      <c r="A86" s="159">
        <v>0</v>
      </c>
      <c r="B86" s="51" t="s">
        <v>229</v>
      </c>
      <c r="C86" s="51" t="s">
        <v>228</v>
      </c>
      <c r="D86" s="51"/>
      <c r="E86" s="151">
        <v>38749</v>
      </c>
      <c r="F86" s="170">
        <f>'A.1.0_TablaAntigüedad_Sub'!K86</f>
        <v>23</v>
      </c>
      <c r="G86" s="51"/>
      <c r="H86" s="171">
        <v>1</v>
      </c>
      <c r="I86" s="172">
        <f>'A.0_Tablas salariales SC'!$V$13</f>
        <v>1240.55</v>
      </c>
      <c r="J86" s="172">
        <f>'A.1.0_TablaAntigüedad_Sub'!V86</f>
        <v>0</v>
      </c>
      <c r="K86" s="172">
        <f t="shared" si="16"/>
        <v>1240.55</v>
      </c>
      <c r="L86" s="172">
        <f t="shared" si="17"/>
        <v>1240.55</v>
      </c>
      <c r="M86" s="172">
        <v>461.42333333333301</v>
      </c>
      <c r="N86" s="172">
        <f t="shared" si="18"/>
        <v>0</v>
      </c>
      <c r="O86" s="172"/>
      <c r="P86" s="172">
        <v>0</v>
      </c>
      <c r="Q86" s="172">
        <f t="shared" si="19"/>
        <v>0</v>
      </c>
      <c r="R86" s="172">
        <v>118.63</v>
      </c>
      <c r="S86" s="172">
        <v>35.593333333333298</v>
      </c>
      <c r="T86" s="172"/>
      <c r="U86" s="172">
        <f t="shared" si="20"/>
        <v>1850.6799999999994</v>
      </c>
      <c r="V86" s="172">
        <f t="shared" si="23"/>
        <v>1850.6799999999994</v>
      </c>
      <c r="W86" s="172">
        <f t="shared" si="21"/>
        <v>0</v>
      </c>
      <c r="X86" s="173">
        <v>0.34599999999999997</v>
      </c>
      <c r="Y86" s="172">
        <f t="shared" si="6"/>
        <v>0</v>
      </c>
      <c r="Z86" s="172">
        <f t="shared" si="22"/>
        <v>0</v>
      </c>
      <c r="AA86" s="166"/>
    </row>
    <row r="87" spans="1:27" hidden="1">
      <c r="A87" s="159">
        <v>0</v>
      </c>
      <c r="B87" s="51" t="s">
        <v>229</v>
      </c>
      <c r="C87" s="51" t="s">
        <v>34</v>
      </c>
      <c r="D87" s="51"/>
      <c r="E87" s="151">
        <v>42174</v>
      </c>
      <c r="F87" s="170">
        <f>'A.1.0_TablaAntigüedad_Sub'!K87</f>
        <v>14</v>
      </c>
      <c r="G87" s="51"/>
      <c r="H87" s="171">
        <v>1</v>
      </c>
      <c r="I87" s="172">
        <f>'A.0_Tablas salariales SC'!$V$13</f>
        <v>1240.55</v>
      </c>
      <c r="J87" s="172">
        <f>'A.1.0_TablaAntigüedad_Sub'!V87</f>
        <v>0</v>
      </c>
      <c r="K87" s="172">
        <f t="shared" si="16"/>
        <v>1240.55</v>
      </c>
      <c r="L87" s="172">
        <f t="shared" si="17"/>
        <v>1240.55</v>
      </c>
      <c r="M87" s="172">
        <v>461.42333333333301</v>
      </c>
      <c r="N87" s="172">
        <f t="shared" si="18"/>
        <v>0</v>
      </c>
      <c r="O87" s="172"/>
      <c r="P87" s="172">
        <v>0</v>
      </c>
      <c r="Q87" s="172">
        <f t="shared" si="19"/>
        <v>0</v>
      </c>
      <c r="R87" s="172">
        <v>118.63</v>
      </c>
      <c r="S87" s="172">
        <v>35.593333333333298</v>
      </c>
      <c r="T87" s="172"/>
      <c r="U87" s="172">
        <f t="shared" si="20"/>
        <v>1850.6799999999994</v>
      </c>
      <c r="V87" s="172">
        <f t="shared" si="23"/>
        <v>1850.6799999999994</v>
      </c>
      <c r="W87" s="172">
        <f t="shared" si="21"/>
        <v>0</v>
      </c>
      <c r="X87" s="173">
        <v>0.34599999999999997</v>
      </c>
      <c r="Y87" s="172">
        <f t="shared" si="6"/>
        <v>0</v>
      </c>
      <c r="Z87" s="172">
        <f t="shared" si="22"/>
        <v>0</v>
      </c>
      <c r="AA87" s="166"/>
    </row>
    <row r="88" spans="1:27" hidden="1">
      <c r="A88" s="159">
        <v>0</v>
      </c>
      <c r="B88" s="51" t="s">
        <v>229</v>
      </c>
      <c r="C88" s="51" t="s">
        <v>228</v>
      </c>
      <c r="D88" s="51"/>
      <c r="E88" s="151">
        <v>42174</v>
      </c>
      <c r="F88" s="170">
        <f>'A.1.0_TablaAntigüedad_Sub'!K88</f>
        <v>14</v>
      </c>
      <c r="G88" s="51"/>
      <c r="H88" s="171">
        <v>1</v>
      </c>
      <c r="I88" s="172">
        <f>'A.0_Tablas salariales SC'!$V$13</f>
        <v>1240.55</v>
      </c>
      <c r="J88" s="172">
        <f>'A.1.0_TablaAntigüedad_Sub'!V88</f>
        <v>0</v>
      </c>
      <c r="K88" s="172">
        <f t="shared" si="16"/>
        <v>1240.55</v>
      </c>
      <c r="L88" s="172">
        <f t="shared" si="17"/>
        <v>1240.55</v>
      </c>
      <c r="M88" s="172">
        <v>461.42333333333301</v>
      </c>
      <c r="N88" s="172">
        <f t="shared" si="18"/>
        <v>0</v>
      </c>
      <c r="O88" s="172"/>
      <c r="P88" s="172">
        <v>0</v>
      </c>
      <c r="Q88" s="172">
        <f t="shared" si="19"/>
        <v>0</v>
      </c>
      <c r="R88" s="172">
        <v>118.63</v>
      </c>
      <c r="S88" s="172">
        <v>35.593333333333298</v>
      </c>
      <c r="T88" s="172"/>
      <c r="U88" s="172">
        <f t="shared" si="20"/>
        <v>1850.6799999999994</v>
      </c>
      <c r="V88" s="172">
        <f t="shared" si="23"/>
        <v>1850.6799999999994</v>
      </c>
      <c r="W88" s="172">
        <f t="shared" si="21"/>
        <v>0</v>
      </c>
      <c r="X88" s="173">
        <v>0.34599999999999997</v>
      </c>
      <c r="Y88" s="172">
        <f t="shared" si="6"/>
        <v>0</v>
      </c>
      <c r="Z88" s="172">
        <f t="shared" si="22"/>
        <v>0</v>
      </c>
      <c r="AA88" s="166"/>
    </row>
    <row r="89" spans="1:27" hidden="1">
      <c r="A89" s="159">
        <v>0</v>
      </c>
      <c r="B89" s="51" t="s">
        <v>229</v>
      </c>
      <c r="C89" s="51" t="s">
        <v>228</v>
      </c>
      <c r="D89" s="51"/>
      <c r="E89" s="151">
        <v>43270</v>
      </c>
      <c r="F89" s="170">
        <f>'A.1.0_TablaAntigüedad_Sub'!K89</f>
        <v>11</v>
      </c>
      <c r="G89" s="51"/>
      <c r="H89" s="171">
        <v>1</v>
      </c>
      <c r="I89" s="172">
        <f>'A.0_Tablas salariales SC'!$V$13</f>
        <v>1240.55</v>
      </c>
      <c r="J89" s="172">
        <f>'A.1.0_TablaAntigüedad_Sub'!V89</f>
        <v>0</v>
      </c>
      <c r="K89" s="172">
        <f t="shared" si="16"/>
        <v>1240.55</v>
      </c>
      <c r="L89" s="172">
        <f t="shared" si="17"/>
        <v>1240.55</v>
      </c>
      <c r="M89" s="172">
        <v>461.42333333333301</v>
      </c>
      <c r="N89" s="172">
        <f t="shared" si="18"/>
        <v>0</v>
      </c>
      <c r="O89" s="172"/>
      <c r="P89" s="172">
        <v>0</v>
      </c>
      <c r="Q89" s="172">
        <f t="shared" si="19"/>
        <v>0</v>
      </c>
      <c r="R89" s="172">
        <v>118.63</v>
      </c>
      <c r="S89" s="172">
        <v>35.593333333333298</v>
      </c>
      <c r="T89" s="172"/>
      <c r="U89" s="172">
        <f t="shared" si="20"/>
        <v>1850.6799999999994</v>
      </c>
      <c r="V89" s="172">
        <f t="shared" si="23"/>
        <v>1850.6799999999994</v>
      </c>
      <c r="W89" s="172">
        <f t="shared" si="21"/>
        <v>0</v>
      </c>
      <c r="X89" s="173">
        <v>0.34599999999999997</v>
      </c>
      <c r="Y89" s="172">
        <f t="shared" si="6"/>
        <v>0</v>
      </c>
      <c r="Z89" s="172">
        <f t="shared" si="22"/>
        <v>0</v>
      </c>
      <c r="AA89" s="166"/>
    </row>
    <row r="90" spans="1:27" hidden="1">
      <c r="A90" s="159">
        <v>0</v>
      </c>
      <c r="B90" s="51" t="s">
        <v>229</v>
      </c>
      <c r="C90" s="51" t="s">
        <v>228</v>
      </c>
      <c r="D90" s="51"/>
      <c r="E90" s="151">
        <v>40348</v>
      </c>
      <c r="F90" s="170">
        <f>'A.1.0_TablaAntigüedad_Sub'!K90</f>
        <v>19</v>
      </c>
      <c r="G90" s="51"/>
      <c r="H90" s="171">
        <v>1</v>
      </c>
      <c r="I90" s="172">
        <f>'A.0_Tablas salariales SC'!$V$13</f>
        <v>1240.55</v>
      </c>
      <c r="J90" s="172">
        <f>'A.1.0_TablaAntigüedad_Sub'!V90</f>
        <v>0</v>
      </c>
      <c r="K90" s="172">
        <f t="shared" si="16"/>
        <v>1240.55</v>
      </c>
      <c r="L90" s="172">
        <f t="shared" si="17"/>
        <v>1240.55</v>
      </c>
      <c r="M90" s="172">
        <v>461.42333333333301</v>
      </c>
      <c r="N90" s="172">
        <f t="shared" si="18"/>
        <v>0</v>
      </c>
      <c r="O90" s="172"/>
      <c r="P90" s="172">
        <v>0</v>
      </c>
      <c r="Q90" s="172">
        <f t="shared" si="19"/>
        <v>0</v>
      </c>
      <c r="R90" s="172">
        <v>118.63</v>
      </c>
      <c r="S90" s="172">
        <v>35.593333333333298</v>
      </c>
      <c r="T90" s="172"/>
      <c r="U90" s="172">
        <f t="shared" si="20"/>
        <v>1850.6799999999994</v>
      </c>
      <c r="V90" s="172">
        <f t="shared" si="23"/>
        <v>1850.6799999999994</v>
      </c>
      <c r="W90" s="172">
        <f t="shared" si="21"/>
        <v>0</v>
      </c>
      <c r="X90" s="173">
        <v>0.34599999999999997</v>
      </c>
      <c r="Y90" s="172">
        <f t="shared" si="6"/>
        <v>0</v>
      </c>
      <c r="Z90" s="172">
        <f t="shared" si="22"/>
        <v>0</v>
      </c>
      <c r="AA90" s="166"/>
    </row>
    <row r="91" spans="1:27">
      <c r="A91" s="154"/>
      <c r="B91" s="154"/>
      <c r="C91" s="154"/>
      <c r="D91" s="154"/>
      <c r="E91" s="154"/>
      <c r="F91" s="154"/>
      <c r="G91" s="154"/>
      <c r="H91" s="154"/>
      <c r="I91" s="154"/>
      <c r="J91" s="154"/>
      <c r="K91" s="154"/>
      <c r="L91" s="154"/>
      <c r="M91" s="154"/>
      <c r="N91" s="164"/>
      <c r="O91" s="154"/>
      <c r="P91" s="154"/>
      <c r="Q91" s="163"/>
      <c r="R91" s="154"/>
      <c r="S91" s="154"/>
      <c r="T91" s="154"/>
      <c r="U91" s="163"/>
      <c r="V91" s="163"/>
      <c r="W91" s="163"/>
      <c r="X91" s="167"/>
      <c r="Y91" s="163"/>
      <c r="Z91" s="163"/>
      <c r="AA91" s="168">
        <f>+(SUM(Z66:Z90))</f>
        <v>618768.17940000002</v>
      </c>
    </row>
    <row r="92" spans="1:27">
      <c r="A92" s="159">
        <v>1</v>
      </c>
      <c r="B92" s="51" t="s">
        <v>230</v>
      </c>
      <c r="C92" s="51" t="s">
        <v>34</v>
      </c>
      <c r="D92" s="51"/>
      <c r="E92" s="151">
        <v>38749</v>
      </c>
      <c r="F92" s="170">
        <f>'A.1.0_TablaAntigüedad_Sub'!K92</f>
        <v>23</v>
      </c>
      <c r="G92" s="51"/>
      <c r="H92" s="171">
        <v>1</v>
      </c>
      <c r="I92" s="172">
        <f>'A.0_Tablas salariales SC'!$V$14</f>
        <v>1304.98</v>
      </c>
      <c r="J92" s="172">
        <f>'A.1.0_TablaAntigüedad_Sub'!V92</f>
        <v>343.31</v>
      </c>
      <c r="K92" s="172">
        <f t="shared" ref="K92:K116" si="24">I92+J92</f>
        <v>1648.29</v>
      </c>
      <c r="L92" s="172">
        <f t="shared" ref="L92:L116" si="25">I92+J92</f>
        <v>1648.29</v>
      </c>
      <c r="M92" s="172">
        <f>'A.0_Tablas salariales SC'!$AA$14</f>
        <v>450</v>
      </c>
      <c r="N92" s="172">
        <f t="shared" ref="N92:P116" si="26">I92*0.25*0</f>
        <v>0</v>
      </c>
      <c r="O92" s="172"/>
      <c r="P92" s="172">
        <v>0</v>
      </c>
      <c r="Q92" s="172">
        <f t="shared" ref="Q92:Q116" si="27">IF(A92&gt;0,((I92*I$4)+(J92*J$4)+(K92*K$4)+(P92*P$4)+(L92*L$4)+(M92*M$4)+(N92*N$4)+(O92*O$4)),0)</f>
        <v>25174.35</v>
      </c>
      <c r="R92" s="172">
        <f>'A.0_Tablas salariales SC'!$X$14</f>
        <v>115.69</v>
      </c>
      <c r="S92" s="172">
        <f>'A.0_Tablas salariales SC'!$W$14</f>
        <v>34.71</v>
      </c>
      <c r="T92" s="172"/>
      <c r="U92" s="172">
        <f t="shared" ref="U92:U116" si="28">(R92*R$4)+(S92*S$4)+T92</f>
        <v>1804.8</v>
      </c>
      <c r="V92" s="172">
        <f t="shared" ref="V92:V116" si="29">+Q92+U92</f>
        <v>26979.149999999998</v>
      </c>
      <c r="W92" s="172">
        <f t="shared" ref="W92:W116" si="30">V92*H92*A92</f>
        <v>26979.149999999998</v>
      </c>
      <c r="X92" s="173">
        <v>0.34599999999999997</v>
      </c>
      <c r="Y92" s="172">
        <f t="shared" si="6"/>
        <v>9334.7858999999989</v>
      </c>
      <c r="Z92" s="172">
        <f t="shared" ref="Z92:Z116" si="31">W92+Y92</f>
        <v>36313.935899999997</v>
      </c>
      <c r="AA92" s="166"/>
    </row>
    <row r="93" spans="1:27">
      <c r="A93" s="159">
        <v>1</v>
      </c>
      <c r="B93" s="51" t="s">
        <v>230</v>
      </c>
      <c r="C93" s="51" t="s">
        <v>34</v>
      </c>
      <c r="D93" s="51"/>
      <c r="E93" s="151">
        <v>38932</v>
      </c>
      <c r="F93" s="170">
        <f>'A.1.0_TablaAntigüedad_Sub'!K93</f>
        <v>23</v>
      </c>
      <c r="G93" s="51"/>
      <c r="H93" s="171">
        <v>1</v>
      </c>
      <c r="I93" s="172">
        <f>'A.0_Tablas salariales SC'!$V$14</f>
        <v>1304.98</v>
      </c>
      <c r="J93" s="172">
        <f>'A.1.0_TablaAntigüedad_Sub'!V93</f>
        <v>343.31</v>
      </c>
      <c r="K93" s="172">
        <f t="shared" si="24"/>
        <v>1648.29</v>
      </c>
      <c r="L93" s="172">
        <f t="shared" si="25"/>
        <v>1648.29</v>
      </c>
      <c r="M93" s="172">
        <f>'A.0_Tablas salariales SC'!$AA$14</f>
        <v>450</v>
      </c>
      <c r="N93" s="172">
        <f t="shared" si="26"/>
        <v>0</v>
      </c>
      <c r="O93" s="172"/>
      <c r="P93" s="172">
        <v>0</v>
      </c>
      <c r="Q93" s="172">
        <f t="shared" si="27"/>
        <v>25174.35</v>
      </c>
      <c r="R93" s="172">
        <f>'A.0_Tablas salariales SC'!$X$14</f>
        <v>115.69</v>
      </c>
      <c r="S93" s="172">
        <f>'A.0_Tablas salariales SC'!$W$14</f>
        <v>34.71</v>
      </c>
      <c r="T93" s="172"/>
      <c r="U93" s="172">
        <f t="shared" si="28"/>
        <v>1804.8</v>
      </c>
      <c r="V93" s="172">
        <f t="shared" si="29"/>
        <v>26979.149999999998</v>
      </c>
      <c r="W93" s="172">
        <f t="shared" si="30"/>
        <v>26979.149999999998</v>
      </c>
      <c r="X93" s="173">
        <v>0.34599999999999997</v>
      </c>
      <c r="Y93" s="172">
        <f t="shared" si="6"/>
        <v>9334.7858999999989</v>
      </c>
      <c r="Z93" s="172">
        <f t="shared" si="31"/>
        <v>36313.935899999997</v>
      </c>
      <c r="AA93" s="166"/>
    </row>
    <row r="94" spans="1:27">
      <c r="A94" s="159">
        <v>1</v>
      </c>
      <c r="B94" s="51" t="s">
        <v>230</v>
      </c>
      <c r="C94" s="51" t="s">
        <v>34</v>
      </c>
      <c r="D94" s="51"/>
      <c r="E94" s="151">
        <v>38932</v>
      </c>
      <c r="F94" s="170">
        <f>'A.1.0_TablaAntigüedad_Sub'!K94</f>
        <v>23</v>
      </c>
      <c r="G94" s="51"/>
      <c r="H94" s="171">
        <v>1</v>
      </c>
      <c r="I94" s="172">
        <f>'A.0_Tablas salariales SC'!$V$14</f>
        <v>1304.98</v>
      </c>
      <c r="J94" s="172">
        <f>'A.1.0_TablaAntigüedad_Sub'!V94</f>
        <v>343.31</v>
      </c>
      <c r="K94" s="172">
        <f t="shared" si="24"/>
        <v>1648.29</v>
      </c>
      <c r="L94" s="172">
        <f t="shared" si="25"/>
        <v>1648.29</v>
      </c>
      <c r="M94" s="172">
        <f>'A.0_Tablas salariales SC'!$AA$14</f>
        <v>450</v>
      </c>
      <c r="N94" s="172">
        <f>I94*0.25*1</f>
        <v>326.245</v>
      </c>
      <c r="O94" s="172"/>
      <c r="P94" s="172">
        <v>0</v>
      </c>
      <c r="Q94" s="172">
        <f t="shared" si="27"/>
        <v>29089.289999999997</v>
      </c>
      <c r="R94" s="172">
        <f>'A.0_Tablas salariales SC'!$X$14</f>
        <v>115.69</v>
      </c>
      <c r="S94" s="172">
        <f>'A.0_Tablas salariales SC'!$W$14</f>
        <v>34.71</v>
      </c>
      <c r="T94" s="172"/>
      <c r="U94" s="172">
        <f t="shared" si="28"/>
        <v>1804.8</v>
      </c>
      <c r="V94" s="172">
        <f t="shared" si="29"/>
        <v>30894.089999999997</v>
      </c>
      <c r="W94" s="172">
        <f t="shared" si="30"/>
        <v>30894.089999999997</v>
      </c>
      <c r="X94" s="173">
        <v>0.34599999999999997</v>
      </c>
      <c r="Y94" s="172">
        <f t="shared" ref="Y94:Y129" si="32">V94*A94*H94*X94</f>
        <v>10689.355139999998</v>
      </c>
      <c r="Z94" s="172">
        <f t="shared" si="31"/>
        <v>41583.445139999996</v>
      </c>
      <c r="AA94" s="166"/>
    </row>
    <row r="95" spans="1:27">
      <c r="A95" s="159">
        <v>1</v>
      </c>
      <c r="B95" s="51" t="s">
        <v>230</v>
      </c>
      <c r="C95" s="51" t="s">
        <v>34</v>
      </c>
      <c r="D95" s="51"/>
      <c r="E95" s="151">
        <v>38838</v>
      </c>
      <c r="F95" s="170">
        <f>'A.1.0_TablaAntigüedad_Sub'!K95</f>
        <v>23</v>
      </c>
      <c r="G95" s="51"/>
      <c r="H95" s="171">
        <v>0.6</v>
      </c>
      <c r="I95" s="172">
        <f>'A.0_Tablas salariales SC'!$V$14</f>
        <v>1304.98</v>
      </c>
      <c r="J95" s="172">
        <f>'A.1.0_TablaAntigüedad_Sub'!V95</f>
        <v>343.31</v>
      </c>
      <c r="K95" s="172">
        <f t="shared" si="24"/>
        <v>1648.29</v>
      </c>
      <c r="L95" s="172">
        <f t="shared" si="25"/>
        <v>1648.29</v>
      </c>
      <c r="M95" s="172">
        <f>'A.0_Tablas salariales SC'!$AA$14</f>
        <v>450</v>
      </c>
      <c r="N95" s="172">
        <f t="shared" si="26"/>
        <v>0</v>
      </c>
      <c r="O95" s="172"/>
      <c r="P95" s="172">
        <v>0</v>
      </c>
      <c r="Q95" s="172">
        <f t="shared" si="27"/>
        <v>25174.35</v>
      </c>
      <c r="R95" s="172">
        <f>'A.0_Tablas salariales SC'!$X$14</f>
        <v>115.69</v>
      </c>
      <c r="S95" s="172">
        <f>'A.0_Tablas salariales SC'!$W$14</f>
        <v>34.71</v>
      </c>
      <c r="T95" s="172"/>
      <c r="U95" s="172">
        <f t="shared" si="28"/>
        <v>1804.8</v>
      </c>
      <c r="V95" s="172">
        <f t="shared" si="29"/>
        <v>26979.149999999998</v>
      </c>
      <c r="W95" s="172">
        <f t="shared" si="30"/>
        <v>16187.489999999998</v>
      </c>
      <c r="X95" s="173">
        <v>0.34599999999999997</v>
      </c>
      <c r="Y95" s="172">
        <f t="shared" si="32"/>
        <v>5600.8715399999992</v>
      </c>
      <c r="Z95" s="172">
        <f t="shared" si="31"/>
        <v>21788.361539999998</v>
      </c>
      <c r="AA95" s="166"/>
    </row>
    <row r="96" spans="1:27">
      <c r="A96" s="159">
        <v>1</v>
      </c>
      <c r="B96" s="51" t="s">
        <v>230</v>
      </c>
      <c r="C96" s="51" t="s">
        <v>228</v>
      </c>
      <c r="D96" s="51"/>
      <c r="E96" s="151">
        <v>39038</v>
      </c>
      <c r="F96" s="170">
        <f>'A.1.0_TablaAntigüedad_Sub'!K96</f>
        <v>23</v>
      </c>
      <c r="G96" s="51"/>
      <c r="H96" s="171">
        <v>1</v>
      </c>
      <c r="I96" s="172">
        <f>'A.0_Tablas salariales SC'!$V$14</f>
        <v>1304.98</v>
      </c>
      <c r="J96" s="172">
        <f>'A.1.0_TablaAntigüedad_Sub'!V96</f>
        <v>343.31</v>
      </c>
      <c r="K96" s="172">
        <f t="shared" si="24"/>
        <v>1648.29</v>
      </c>
      <c r="L96" s="172">
        <f t="shared" si="25"/>
        <v>1648.29</v>
      </c>
      <c r="M96" s="172">
        <f>'A.0_Tablas salariales SC'!$AA$14</f>
        <v>450</v>
      </c>
      <c r="N96" s="172">
        <f t="shared" si="26"/>
        <v>0</v>
      </c>
      <c r="O96" s="172"/>
      <c r="P96" s="172">
        <v>0</v>
      </c>
      <c r="Q96" s="172">
        <f t="shared" si="27"/>
        <v>25174.35</v>
      </c>
      <c r="R96" s="172">
        <f>'A.0_Tablas salariales SC'!$X$14</f>
        <v>115.69</v>
      </c>
      <c r="S96" s="172">
        <f>'A.0_Tablas salariales SC'!$W$14</f>
        <v>34.71</v>
      </c>
      <c r="T96" s="172"/>
      <c r="U96" s="172">
        <f t="shared" si="28"/>
        <v>1804.8</v>
      </c>
      <c r="V96" s="172">
        <f t="shared" si="29"/>
        <v>26979.149999999998</v>
      </c>
      <c r="W96" s="172">
        <f t="shared" si="30"/>
        <v>26979.149999999998</v>
      </c>
      <c r="X96" s="173">
        <v>0.34599999999999997</v>
      </c>
      <c r="Y96" s="172">
        <f t="shared" si="32"/>
        <v>9334.7858999999989</v>
      </c>
      <c r="Z96" s="172">
        <f t="shared" si="31"/>
        <v>36313.935899999997</v>
      </c>
      <c r="AA96" s="166"/>
    </row>
    <row r="97" spans="1:27">
      <c r="A97" s="159">
        <v>1</v>
      </c>
      <c r="B97" s="51" t="s">
        <v>230</v>
      </c>
      <c r="C97" s="51" t="s">
        <v>34</v>
      </c>
      <c r="D97" s="51"/>
      <c r="E97" s="151">
        <v>38749</v>
      </c>
      <c r="F97" s="170">
        <f>'A.1.0_TablaAntigüedad_Sub'!K97</f>
        <v>23</v>
      </c>
      <c r="G97" s="51"/>
      <c r="H97" s="171">
        <v>1</v>
      </c>
      <c r="I97" s="172">
        <f>'A.0_Tablas salariales SC'!$V$14</f>
        <v>1304.98</v>
      </c>
      <c r="J97" s="172">
        <f>'A.1.0_TablaAntigüedad_Sub'!V97</f>
        <v>343.31</v>
      </c>
      <c r="K97" s="172">
        <f t="shared" si="24"/>
        <v>1648.29</v>
      </c>
      <c r="L97" s="172">
        <f t="shared" si="25"/>
        <v>1648.29</v>
      </c>
      <c r="M97" s="172">
        <f>'A.0_Tablas salariales SC'!$AA$14</f>
        <v>450</v>
      </c>
      <c r="N97" s="172">
        <f t="shared" si="26"/>
        <v>0</v>
      </c>
      <c r="O97" s="172"/>
      <c r="P97" s="172">
        <v>0</v>
      </c>
      <c r="Q97" s="172">
        <f t="shared" si="27"/>
        <v>25174.35</v>
      </c>
      <c r="R97" s="172">
        <f>'A.0_Tablas salariales SC'!$X$14</f>
        <v>115.69</v>
      </c>
      <c r="S97" s="172">
        <f>'A.0_Tablas salariales SC'!$W$14</f>
        <v>34.71</v>
      </c>
      <c r="T97" s="172"/>
      <c r="U97" s="172">
        <f t="shared" si="28"/>
        <v>1804.8</v>
      </c>
      <c r="V97" s="172">
        <f t="shared" si="29"/>
        <v>26979.149999999998</v>
      </c>
      <c r="W97" s="172">
        <f t="shared" si="30"/>
        <v>26979.149999999998</v>
      </c>
      <c r="X97" s="173">
        <v>0.34599999999999997</v>
      </c>
      <c r="Y97" s="172">
        <f t="shared" si="32"/>
        <v>9334.7858999999989</v>
      </c>
      <c r="Z97" s="172">
        <f t="shared" si="31"/>
        <v>36313.935899999997</v>
      </c>
      <c r="AA97" s="166"/>
    </row>
    <row r="98" spans="1:27">
      <c r="A98" s="159">
        <v>1</v>
      </c>
      <c r="B98" s="51" t="s">
        <v>230</v>
      </c>
      <c r="C98" s="51" t="s">
        <v>34</v>
      </c>
      <c r="D98" s="51"/>
      <c r="E98" s="151">
        <v>35966</v>
      </c>
      <c r="F98" s="170">
        <f>'A.1.0_TablaAntigüedad_Sub'!K98</f>
        <v>31</v>
      </c>
      <c r="G98" s="51"/>
      <c r="H98" s="171">
        <v>1</v>
      </c>
      <c r="I98" s="172">
        <f>'A.0_Tablas salariales SC'!$V$14</f>
        <v>1304.98</v>
      </c>
      <c r="J98" s="172">
        <f>'A.1.0_TablaAntigüedad_Sub'!V98</f>
        <v>421.15</v>
      </c>
      <c r="K98" s="172">
        <f t="shared" si="24"/>
        <v>1726.13</v>
      </c>
      <c r="L98" s="172">
        <f t="shared" si="25"/>
        <v>1726.13</v>
      </c>
      <c r="M98" s="172">
        <f>'A.0_Tablas salariales SC'!$AA$14</f>
        <v>450</v>
      </c>
      <c r="N98" s="172">
        <f t="shared" si="26"/>
        <v>0</v>
      </c>
      <c r="O98" s="172"/>
      <c r="P98" s="172">
        <v>0</v>
      </c>
      <c r="Q98" s="172">
        <f t="shared" si="27"/>
        <v>26341.95</v>
      </c>
      <c r="R98" s="172">
        <f>'A.0_Tablas salariales SC'!$X$14</f>
        <v>115.69</v>
      </c>
      <c r="S98" s="172">
        <f>'A.0_Tablas salariales SC'!$W$14</f>
        <v>34.71</v>
      </c>
      <c r="T98" s="172"/>
      <c r="U98" s="172">
        <f t="shared" si="28"/>
        <v>1804.8</v>
      </c>
      <c r="V98" s="172">
        <f t="shared" si="29"/>
        <v>28146.75</v>
      </c>
      <c r="W98" s="172">
        <f t="shared" si="30"/>
        <v>28146.75</v>
      </c>
      <c r="X98" s="173">
        <v>0.34599999999999997</v>
      </c>
      <c r="Y98" s="172">
        <f t="shared" si="32"/>
        <v>9738.7754999999997</v>
      </c>
      <c r="Z98" s="172">
        <f t="shared" si="31"/>
        <v>37885.525500000003</v>
      </c>
      <c r="AA98" s="166"/>
    </row>
    <row r="99" spans="1:27">
      <c r="A99" s="159">
        <v>1</v>
      </c>
      <c r="B99" s="51" t="s">
        <v>230</v>
      </c>
      <c r="C99" s="51" t="s">
        <v>34</v>
      </c>
      <c r="D99" s="51"/>
      <c r="E99" s="151">
        <v>38827</v>
      </c>
      <c r="F99" s="170">
        <f>'A.1.0_TablaAntigüedad_Sub'!K99</f>
        <v>23</v>
      </c>
      <c r="G99" s="51"/>
      <c r="H99" s="171">
        <v>1</v>
      </c>
      <c r="I99" s="172">
        <f>'A.0_Tablas salariales SC'!$V$14</f>
        <v>1304.98</v>
      </c>
      <c r="J99" s="172">
        <f>'A.1.0_TablaAntigüedad_Sub'!V99</f>
        <v>343.31</v>
      </c>
      <c r="K99" s="172">
        <f t="shared" si="24"/>
        <v>1648.29</v>
      </c>
      <c r="L99" s="172">
        <f t="shared" si="25"/>
        <v>1648.29</v>
      </c>
      <c r="M99" s="172">
        <f>'A.0_Tablas salariales SC'!$AA$14</f>
        <v>450</v>
      </c>
      <c r="N99" s="172">
        <f t="shared" si="26"/>
        <v>0</v>
      </c>
      <c r="O99" s="172"/>
      <c r="P99" s="172">
        <v>0</v>
      </c>
      <c r="Q99" s="172">
        <f t="shared" si="27"/>
        <v>25174.35</v>
      </c>
      <c r="R99" s="172">
        <f>'A.0_Tablas salariales SC'!$X$14</f>
        <v>115.69</v>
      </c>
      <c r="S99" s="172">
        <f>'A.0_Tablas salariales SC'!$W$14</f>
        <v>34.71</v>
      </c>
      <c r="T99" s="172"/>
      <c r="U99" s="172">
        <f t="shared" si="28"/>
        <v>1804.8</v>
      </c>
      <c r="V99" s="172">
        <f t="shared" si="29"/>
        <v>26979.149999999998</v>
      </c>
      <c r="W99" s="172">
        <f t="shared" si="30"/>
        <v>26979.149999999998</v>
      </c>
      <c r="X99" s="173">
        <v>0.34599999999999997</v>
      </c>
      <c r="Y99" s="172">
        <f t="shared" si="32"/>
        <v>9334.7858999999989</v>
      </c>
      <c r="Z99" s="172">
        <f t="shared" si="31"/>
        <v>36313.935899999997</v>
      </c>
      <c r="AA99" s="166"/>
    </row>
    <row r="100" spans="1:27">
      <c r="A100" s="159">
        <v>1</v>
      </c>
      <c r="B100" s="51" t="s">
        <v>230</v>
      </c>
      <c r="C100" s="51" t="s">
        <v>34</v>
      </c>
      <c r="D100" s="51"/>
      <c r="E100" s="151">
        <v>38749</v>
      </c>
      <c r="F100" s="170">
        <f>'A.1.0_TablaAntigüedad_Sub'!K100</f>
        <v>23</v>
      </c>
      <c r="G100" s="51"/>
      <c r="H100" s="171">
        <v>1</v>
      </c>
      <c r="I100" s="172">
        <f>'A.0_Tablas salariales SC'!$V$14</f>
        <v>1304.98</v>
      </c>
      <c r="J100" s="172">
        <f>'A.1.0_TablaAntigüedad_Sub'!V100</f>
        <v>343.31</v>
      </c>
      <c r="K100" s="172">
        <f t="shared" si="24"/>
        <v>1648.29</v>
      </c>
      <c r="L100" s="172">
        <f t="shared" si="25"/>
        <v>1648.29</v>
      </c>
      <c r="M100" s="172">
        <f>'A.0_Tablas salariales SC'!$AA$14</f>
        <v>450</v>
      </c>
      <c r="N100" s="172">
        <f t="shared" si="26"/>
        <v>0</v>
      </c>
      <c r="O100" s="172"/>
      <c r="P100" s="172">
        <v>0</v>
      </c>
      <c r="Q100" s="172">
        <f t="shared" si="27"/>
        <v>25174.35</v>
      </c>
      <c r="R100" s="172">
        <f>'A.0_Tablas salariales SC'!$X$14</f>
        <v>115.69</v>
      </c>
      <c r="S100" s="172">
        <f>'A.0_Tablas salariales SC'!$W$14</f>
        <v>34.71</v>
      </c>
      <c r="T100" s="172"/>
      <c r="U100" s="172">
        <f t="shared" si="28"/>
        <v>1804.8</v>
      </c>
      <c r="V100" s="172">
        <f t="shared" si="29"/>
        <v>26979.149999999998</v>
      </c>
      <c r="W100" s="172">
        <f t="shared" si="30"/>
        <v>26979.149999999998</v>
      </c>
      <c r="X100" s="173">
        <v>0.34599999999999997</v>
      </c>
      <c r="Y100" s="172">
        <f t="shared" si="32"/>
        <v>9334.7858999999989</v>
      </c>
      <c r="Z100" s="172">
        <f t="shared" si="31"/>
        <v>36313.935899999997</v>
      </c>
      <c r="AA100" s="166"/>
    </row>
    <row r="101" spans="1:27">
      <c r="A101" s="159">
        <v>1</v>
      </c>
      <c r="B101" s="51" t="s">
        <v>231</v>
      </c>
      <c r="C101" s="51" t="s">
        <v>228</v>
      </c>
      <c r="D101" s="51"/>
      <c r="E101" s="151">
        <v>37653</v>
      </c>
      <c r="F101" s="170">
        <f>'A.1.0_TablaAntigüedad_Sub'!K101</f>
        <v>26</v>
      </c>
      <c r="G101" s="51"/>
      <c r="H101" s="171">
        <v>1</v>
      </c>
      <c r="I101" s="172">
        <f>'A.0_Tablas salariales SC'!$V$14</f>
        <v>1304.98</v>
      </c>
      <c r="J101" s="172">
        <f>'A.1.0_TablaAntigüedad_Sub'!V101</f>
        <v>385.86</v>
      </c>
      <c r="K101" s="172">
        <f t="shared" si="24"/>
        <v>1690.8400000000001</v>
      </c>
      <c r="L101" s="172">
        <f t="shared" si="25"/>
        <v>1690.8400000000001</v>
      </c>
      <c r="M101" s="172">
        <f>'A.0_Tablas salariales SC'!$AA$14</f>
        <v>450</v>
      </c>
      <c r="N101" s="172">
        <f t="shared" si="26"/>
        <v>0</v>
      </c>
      <c r="O101" s="172"/>
      <c r="P101" s="172">
        <v>0</v>
      </c>
      <c r="Q101" s="172">
        <f t="shared" si="27"/>
        <v>25812.600000000002</v>
      </c>
      <c r="R101" s="172">
        <f>'A.0_Tablas salariales SC'!$X$14</f>
        <v>115.69</v>
      </c>
      <c r="S101" s="172">
        <f>'A.0_Tablas salariales SC'!$W$14</f>
        <v>34.71</v>
      </c>
      <c r="T101" s="172"/>
      <c r="U101" s="172">
        <f t="shared" si="28"/>
        <v>1804.8</v>
      </c>
      <c r="V101" s="172">
        <f t="shared" si="29"/>
        <v>27617.4</v>
      </c>
      <c r="W101" s="172">
        <f t="shared" si="30"/>
        <v>27617.4</v>
      </c>
      <c r="X101" s="173">
        <v>0.34599999999999997</v>
      </c>
      <c r="Y101" s="172">
        <f t="shared" si="32"/>
        <v>9555.6203999999998</v>
      </c>
      <c r="Z101" s="172">
        <f t="shared" si="31"/>
        <v>37173.020400000001</v>
      </c>
      <c r="AA101" s="166"/>
    </row>
    <row r="102" spans="1:27">
      <c r="A102" s="159">
        <v>1</v>
      </c>
      <c r="B102" s="51" t="s">
        <v>231</v>
      </c>
      <c r="C102" s="51" t="s">
        <v>34</v>
      </c>
      <c r="D102" s="51"/>
      <c r="E102" s="151">
        <v>39618</v>
      </c>
      <c r="F102" s="170">
        <f>'A.1.0_TablaAntigüedad_Sub'!K102</f>
        <v>21</v>
      </c>
      <c r="G102" s="51"/>
      <c r="H102" s="171">
        <v>0.4</v>
      </c>
      <c r="I102" s="172">
        <f>'A.0_Tablas salariales SC'!$V$14</f>
        <v>1304.98</v>
      </c>
      <c r="J102" s="172">
        <f>'A.1.0_TablaAntigüedad_Sub'!V102</f>
        <v>280.79000000000002</v>
      </c>
      <c r="K102" s="172">
        <f t="shared" si="24"/>
        <v>1585.77</v>
      </c>
      <c r="L102" s="172">
        <f t="shared" si="25"/>
        <v>1585.77</v>
      </c>
      <c r="M102" s="172">
        <f>'A.0_Tablas salariales SC'!$AA$14</f>
        <v>450</v>
      </c>
      <c r="N102" s="172">
        <f t="shared" si="26"/>
        <v>0</v>
      </c>
      <c r="O102" s="172"/>
      <c r="P102" s="172">
        <v>0</v>
      </c>
      <c r="Q102" s="172">
        <f t="shared" si="27"/>
        <v>24236.550000000003</v>
      </c>
      <c r="R102" s="172">
        <f>'A.0_Tablas salariales SC'!$X$14</f>
        <v>115.69</v>
      </c>
      <c r="S102" s="172">
        <f>'A.0_Tablas salariales SC'!$W$14</f>
        <v>34.71</v>
      </c>
      <c r="T102" s="172"/>
      <c r="U102" s="172">
        <f t="shared" si="28"/>
        <v>1804.8</v>
      </c>
      <c r="V102" s="172">
        <f t="shared" si="29"/>
        <v>26041.350000000002</v>
      </c>
      <c r="W102" s="172">
        <f t="shared" si="30"/>
        <v>10416.540000000001</v>
      </c>
      <c r="X102" s="173">
        <v>0.34599999999999997</v>
      </c>
      <c r="Y102" s="172">
        <f t="shared" si="32"/>
        <v>3604.12284</v>
      </c>
      <c r="Z102" s="172">
        <f t="shared" si="31"/>
        <v>14020.662840000001</v>
      </c>
      <c r="AA102" s="166"/>
    </row>
    <row r="103" spans="1:27">
      <c r="A103" s="159">
        <v>1</v>
      </c>
      <c r="B103" s="51" t="s">
        <v>231</v>
      </c>
      <c r="C103" s="51" t="s">
        <v>34</v>
      </c>
      <c r="D103" s="51"/>
      <c r="E103" s="151">
        <v>38880</v>
      </c>
      <c r="F103" s="170">
        <f>'A.1.0_TablaAntigüedad_Sub'!K103</f>
        <v>23</v>
      </c>
      <c r="G103" s="51"/>
      <c r="H103" s="171">
        <v>1</v>
      </c>
      <c r="I103" s="172">
        <f>'A.0_Tablas salariales SC'!$V$14</f>
        <v>1304.98</v>
      </c>
      <c r="J103" s="172">
        <f>'A.1.0_TablaAntigüedad_Sub'!V103</f>
        <v>343.31</v>
      </c>
      <c r="K103" s="172">
        <f t="shared" si="24"/>
        <v>1648.29</v>
      </c>
      <c r="L103" s="172">
        <f t="shared" si="25"/>
        <v>1648.29</v>
      </c>
      <c r="M103" s="172">
        <f>'A.0_Tablas salariales SC'!$AA$14</f>
        <v>450</v>
      </c>
      <c r="N103" s="172">
        <f t="shared" si="26"/>
        <v>0</v>
      </c>
      <c r="O103" s="172"/>
      <c r="P103" s="172">
        <v>0</v>
      </c>
      <c r="Q103" s="172">
        <f t="shared" si="27"/>
        <v>25174.35</v>
      </c>
      <c r="R103" s="172">
        <f>'A.0_Tablas salariales SC'!$X$14</f>
        <v>115.69</v>
      </c>
      <c r="S103" s="172">
        <f>'A.0_Tablas salariales SC'!$W$14</f>
        <v>34.71</v>
      </c>
      <c r="T103" s="172"/>
      <c r="U103" s="172">
        <f t="shared" si="28"/>
        <v>1804.8</v>
      </c>
      <c r="V103" s="172">
        <f t="shared" si="29"/>
        <v>26979.149999999998</v>
      </c>
      <c r="W103" s="172">
        <f t="shared" si="30"/>
        <v>26979.149999999998</v>
      </c>
      <c r="X103" s="173">
        <v>0.34599999999999997</v>
      </c>
      <c r="Y103" s="172">
        <f t="shared" si="32"/>
        <v>9334.7858999999989</v>
      </c>
      <c r="Z103" s="172">
        <f t="shared" si="31"/>
        <v>36313.935899999997</v>
      </c>
      <c r="AA103" s="166"/>
    </row>
    <row r="104" spans="1:27">
      <c r="A104" s="159">
        <v>1</v>
      </c>
      <c r="B104" s="51" t="s">
        <v>230</v>
      </c>
      <c r="C104" s="51" t="s">
        <v>34</v>
      </c>
      <c r="D104" s="51"/>
      <c r="E104" s="151">
        <v>38908</v>
      </c>
      <c r="F104" s="170">
        <f>'A.1.0_TablaAntigüedad_Sub'!K104</f>
        <v>23</v>
      </c>
      <c r="G104" s="51"/>
      <c r="H104" s="171">
        <v>1</v>
      </c>
      <c r="I104" s="172">
        <f>'A.0_Tablas salariales SC'!$V$14</f>
        <v>1304.98</v>
      </c>
      <c r="J104" s="172">
        <f>'A.1.0_TablaAntigüedad_Sub'!V104</f>
        <v>343.31</v>
      </c>
      <c r="K104" s="172">
        <f t="shared" si="24"/>
        <v>1648.29</v>
      </c>
      <c r="L104" s="172">
        <f t="shared" si="25"/>
        <v>1648.29</v>
      </c>
      <c r="M104" s="172">
        <f>'A.0_Tablas salariales SC'!$AA$14</f>
        <v>450</v>
      </c>
      <c r="N104" s="172">
        <f t="shared" si="26"/>
        <v>0</v>
      </c>
      <c r="O104" s="172"/>
      <c r="P104" s="172">
        <f t="shared" si="26"/>
        <v>0</v>
      </c>
      <c r="Q104" s="172">
        <f t="shared" si="27"/>
        <v>25174.35</v>
      </c>
      <c r="R104" s="172">
        <f>'A.0_Tablas salariales SC'!$X$14</f>
        <v>115.69</v>
      </c>
      <c r="S104" s="172">
        <f>'A.0_Tablas salariales SC'!$W$14</f>
        <v>34.71</v>
      </c>
      <c r="T104" s="172"/>
      <c r="U104" s="172">
        <f t="shared" si="28"/>
        <v>1804.8</v>
      </c>
      <c r="V104" s="172">
        <f t="shared" si="29"/>
        <v>26979.149999999998</v>
      </c>
      <c r="W104" s="172">
        <f t="shared" si="30"/>
        <v>26979.149999999998</v>
      </c>
      <c r="X104" s="173">
        <v>0.34599999999999997</v>
      </c>
      <c r="Y104" s="172">
        <f t="shared" si="32"/>
        <v>9334.7858999999989</v>
      </c>
      <c r="Z104" s="172">
        <f t="shared" si="31"/>
        <v>36313.935899999997</v>
      </c>
      <c r="AA104" s="166"/>
    </row>
    <row r="105" spans="1:27">
      <c r="A105" s="159">
        <v>1</v>
      </c>
      <c r="B105" s="51" t="s">
        <v>230</v>
      </c>
      <c r="C105" s="51" t="s">
        <v>228</v>
      </c>
      <c r="D105" s="51"/>
      <c r="E105" s="151">
        <v>39038</v>
      </c>
      <c r="F105" s="170">
        <f>'A.1.0_TablaAntigüedad_Sub'!K105</f>
        <v>23</v>
      </c>
      <c r="G105" s="51"/>
      <c r="H105" s="171">
        <v>0.9</v>
      </c>
      <c r="I105" s="172">
        <f>'A.0_Tablas salariales SC'!$V$14</f>
        <v>1304.98</v>
      </c>
      <c r="J105" s="172">
        <f>'A.1.0_TablaAntigüedad_Sub'!V105</f>
        <v>343.31</v>
      </c>
      <c r="K105" s="172">
        <f t="shared" si="24"/>
        <v>1648.29</v>
      </c>
      <c r="L105" s="172">
        <f t="shared" si="25"/>
        <v>1648.29</v>
      </c>
      <c r="M105" s="172">
        <f>'A.0_Tablas salariales SC'!$AA$14</f>
        <v>450</v>
      </c>
      <c r="N105" s="172">
        <f t="shared" si="26"/>
        <v>0</v>
      </c>
      <c r="O105" s="172"/>
      <c r="P105" s="172">
        <f t="shared" si="26"/>
        <v>0</v>
      </c>
      <c r="Q105" s="172">
        <f t="shared" si="27"/>
        <v>25174.35</v>
      </c>
      <c r="R105" s="172">
        <f>'A.0_Tablas salariales SC'!$X$14</f>
        <v>115.69</v>
      </c>
      <c r="S105" s="172">
        <f>'A.0_Tablas salariales SC'!$W$14</f>
        <v>34.71</v>
      </c>
      <c r="T105" s="172"/>
      <c r="U105" s="172">
        <f t="shared" si="28"/>
        <v>1804.8</v>
      </c>
      <c r="V105" s="172">
        <f t="shared" si="29"/>
        <v>26979.149999999998</v>
      </c>
      <c r="W105" s="172">
        <f t="shared" si="30"/>
        <v>24281.234999999997</v>
      </c>
      <c r="X105" s="173">
        <v>0.34599999999999997</v>
      </c>
      <c r="Y105" s="172">
        <f t="shared" si="32"/>
        <v>8401.3073099999983</v>
      </c>
      <c r="Z105" s="172">
        <f t="shared" si="31"/>
        <v>32682.542309999997</v>
      </c>
      <c r="AA105" s="166"/>
    </row>
    <row r="106" spans="1:27">
      <c r="A106" s="159">
        <v>1</v>
      </c>
      <c r="B106" s="51" t="s">
        <v>230</v>
      </c>
      <c r="C106" s="51" t="s">
        <v>34</v>
      </c>
      <c r="D106" s="51"/>
      <c r="E106" s="151">
        <v>38749</v>
      </c>
      <c r="F106" s="170">
        <f>'A.1.0_TablaAntigüedad_Sub'!K106</f>
        <v>23</v>
      </c>
      <c r="G106" s="51"/>
      <c r="H106" s="171">
        <v>1</v>
      </c>
      <c r="I106" s="172">
        <f>'A.0_Tablas salariales SC'!$V$14</f>
        <v>1304.98</v>
      </c>
      <c r="J106" s="172">
        <f>'A.1.0_TablaAntigüedad_Sub'!V106</f>
        <v>343.31</v>
      </c>
      <c r="K106" s="172">
        <f t="shared" si="24"/>
        <v>1648.29</v>
      </c>
      <c r="L106" s="172">
        <f t="shared" si="25"/>
        <v>1648.29</v>
      </c>
      <c r="M106" s="172">
        <f>'A.0_Tablas salariales SC'!$AA$14</f>
        <v>450</v>
      </c>
      <c r="N106" s="172">
        <f t="shared" si="26"/>
        <v>0</v>
      </c>
      <c r="O106" s="172"/>
      <c r="P106" s="172">
        <f t="shared" si="26"/>
        <v>0</v>
      </c>
      <c r="Q106" s="172">
        <f t="shared" si="27"/>
        <v>25174.35</v>
      </c>
      <c r="R106" s="172">
        <f>'A.0_Tablas salariales SC'!$X$14</f>
        <v>115.69</v>
      </c>
      <c r="S106" s="172">
        <f>'A.0_Tablas salariales SC'!$W$14</f>
        <v>34.71</v>
      </c>
      <c r="T106" s="172"/>
      <c r="U106" s="172">
        <f t="shared" si="28"/>
        <v>1804.8</v>
      </c>
      <c r="V106" s="172">
        <f t="shared" si="29"/>
        <v>26979.149999999998</v>
      </c>
      <c r="W106" s="172">
        <f t="shared" si="30"/>
        <v>26979.149999999998</v>
      </c>
      <c r="X106" s="173">
        <v>0.34599999999999997</v>
      </c>
      <c r="Y106" s="172">
        <f t="shared" si="32"/>
        <v>9334.7858999999989</v>
      </c>
      <c r="Z106" s="172">
        <f t="shared" si="31"/>
        <v>36313.935899999997</v>
      </c>
      <c r="AA106" s="166"/>
    </row>
    <row r="107" spans="1:27">
      <c r="A107" s="159">
        <v>1</v>
      </c>
      <c r="B107" s="51" t="s">
        <v>230</v>
      </c>
      <c r="C107" s="51" t="s">
        <v>34</v>
      </c>
      <c r="D107" s="51"/>
      <c r="E107" s="151">
        <v>35966</v>
      </c>
      <c r="F107" s="170">
        <f>'A.1.0_TablaAntigüedad_Sub'!K107</f>
        <v>31</v>
      </c>
      <c r="G107" s="51"/>
      <c r="H107" s="171">
        <v>1</v>
      </c>
      <c r="I107" s="172">
        <f>'A.0_Tablas salariales SC'!$V$14</f>
        <v>1304.98</v>
      </c>
      <c r="J107" s="172">
        <f>'A.1.0_TablaAntigüedad_Sub'!V107</f>
        <v>421.15</v>
      </c>
      <c r="K107" s="172">
        <f t="shared" si="24"/>
        <v>1726.13</v>
      </c>
      <c r="L107" s="172">
        <f t="shared" si="25"/>
        <v>1726.13</v>
      </c>
      <c r="M107" s="172">
        <f>'A.0_Tablas salariales SC'!$AA$14</f>
        <v>450</v>
      </c>
      <c r="N107" s="172">
        <f t="shared" si="26"/>
        <v>0</v>
      </c>
      <c r="O107" s="172"/>
      <c r="P107" s="172">
        <f t="shared" si="26"/>
        <v>0</v>
      </c>
      <c r="Q107" s="172">
        <f t="shared" si="27"/>
        <v>26341.95</v>
      </c>
      <c r="R107" s="172">
        <f>'A.0_Tablas salariales SC'!$X$14</f>
        <v>115.69</v>
      </c>
      <c r="S107" s="172">
        <f>'A.0_Tablas salariales SC'!$W$14</f>
        <v>34.71</v>
      </c>
      <c r="T107" s="172"/>
      <c r="U107" s="172">
        <f t="shared" si="28"/>
        <v>1804.8</v>
      </c>
      <c r="V107" s="172">
        <f t="shared" si="29"/>
        <v>28146.75</v>
      </c>
      <c r="W107" s="172">
        <f t="shared" si="30"/>
        <v>28146.75</v>
      </c>
      <c r="X107" s="173">
        <v>0.34599999999999997</v>
      </c>
      <c r="Y107" s="172">
        <f t="shared" si="32"/>
        <v>9738.7754999999997</v>
      </c>
      <c r="Z107" s="172">
        <f t="shared" si="31"/>
        <v>37885.525500000003</v>
      </c>
      <c r="AA107" s="166"/>
    </row>
    <row r="108" spans="1:27">
      <c r="A108" s="159">
        <v>1</v>
      </c>
      <c r="B108" s="51" t="s">
        <v>230</v>
      </c>
      <c r="C108" s="51" t="s">
        <v>34</v>
      </c>
      <c r="D108" s="51"/>
      <c r="E108" s="151">
        <v>38827</v>
      </c>
      <c r="F108" s="170">
        <f>'A.1.0_TablaAntigüedad_Sub'!K108</f>
        <v>23</v>
      </c>
      <c r="G108" s="51"/>
      <c r="H108" s="171">
        <v>1</v>
      </c>
      <c r="I108" s="172">
        <f>'A.0_Tablas salariales SC'!$V$14</f>
        <v>1304.98</v>
      </c>
      <c r="J108" s="172">
        <f>'A.1.0_TablaAntigüedad_Sub'!V108</f>
        <v>343.31</v>
      </c>
      <c r="K108" s="172">
        <f t="shared" si="24"/>
        <v>1648.29</v>
      </c>
      <c r="L108" s="172">
        <f t="shared" si="25"/>
        <v>1648.29</v>
      </c>
      <c r="M108" s="172">
        <f>'A.0_Tablas salariales SC'!$AA$14</f>
        <v>450</v>
      </c>
      <c r="N108" s="172">
        <f t="shared" si="26"/>
        <v>0</v>
      </c>
      <c r="O108" s="172"/>
      <c r="P108" s="172">
        <f t="shared" si="26"/>
        <v>0</v>
      </c>
      <c r="Q108" s="172">
        <f t="shared" si="27"/>
        <v>25174.35</v>
      </c>
      <c r="R108" s="172">
        <f>'A.0_Tablas salariales SC'!$X$14</f>
        <v>115.69</v>
      </c>
      <c r="S108" s="172">
        <f>'A.0_Tablas salariales SC'!$W$14</f>
        <v>34.71</v>
      </c>
      <c r="T108" s="172"/>
      <c r="U108" s="172">
        <f t="shared" si="28"/>
        <v>1804.8</v>
      </c>
      <c r="V108" s="172">
        <f t="shared" si="29"/>
        <v>26979.149999999998</v>
      </c>
      <c r="W108" s="172">
        <f t="shared" si="30"/>
        <v>26979.149999999998</v>
      </c>
      <c r="X108" s="173">
        <v>0.34599999999999997</v>
      </c>
      <c r="Y108" s="172">
        <f t="shared" si="32"/>
        <v>9334.7858999999989</v>
      </c>
      <c r="Z108" s="172">
        <f t="shared" si="31"/>
        <v>36313.935899999997</v>
      </c>
      <c r="AA108" s="166"/>
    </row>
    <row r="109" spans="1:27">
      <c r="A109" s="159">
        <v>1</v>
      </c>
      <c r="B109" s="51" t="s">
        <v>230</v>
      </c>
      <c r="C109" s="51" t="s">
        <v>34</v>
      </c>
      <c r="D109" s="51"/>
      <c r="E109" s="151">
        <v>38749</v>
      </c>
      <c r="F109" s="170">
        <f>'A.1.0_TablaAntigüedad_Sub'!K109</f>
        <v>23</v>
      </c>
      <c r="G109" s="51"/>
      <c r="H109" s="171">
        <v>1</v>
      </c>
      <c r="I109" s="172">
        <f>'A.0_Tablas salariales SC'!$V$14</f>
        <v>1304.98</v>
      </c>
      <c r="J109" s="172">
        <f>'A.1.0_TablaAntigüedad_Sub'!V109</f>
        <v>343.31</v>
      </c>
      <c r="K109" s="172">
        <f t="shared" si="24"/>
        <v>1648.29</v>
      </c>
      <c r="L109" s="172">
        <f t="shared" si="25"/>
        <v>1648.29</v>
      </c>
      <c r="M109" s="172">
        <f>'A.0_Tablas salariales SC'!$AA$14</f>
        <v>450</v>
      </c>
      <c r="N109" s="172">
        <f t="shared" si="26"/>
        <v>0</v>
      </c>
      <c r="O109" s="172"/>
      <c r="P109" s="172">
        <f t="shared" si="26"/>
        <v>0</v>
      </c>
      <c r="Q109" s="172">
        <f t="shared" si="27"/>
        <v>25174.35</v>
      </c>
      <c r="R109" s="172">
        <f>'A.0_Tablas salariales SC'!$X$14</f>
        <v>115.69</v>
      </c>
      <c r="S109" s="172">
        <f>'A.0_Tablas salariales SC'!$W$14</f>
        <v>34.71</v>
      </c>
      <c r="T109" s="172"/>
      <c r="U109" s="172">
        <f t="shared" si="28"/>
        <v>1804.8</v>
      </c>
      <c r="V109" s="172">
        <f t="shared" si="29"/>
        <v>26979.149999999998</v>
      </c>
      <c r="W109" s="172">
        <f t="shared" si="30"/>
        <v>26979.149999999998</v>
      </c>
      <c r="X109" s="173">
        <v>0.34599999999999997</v>
      </c>
      <c r="Y109" s="172">
        <f t="shared" si="32"/>
        <v>9334.7858999999989</v>
      </c>
      <c r="Z109" s="172">
        <f t="shared" si="31"/>
        <v>36313.935899999997</v>
      </c>
      <c r="AA109" s="166"/>
    </row>
    <row r="110" spans="1:27">
      <c r="A110" s="159">
        <v>1</v>
      </c>
      <c r="B110" s="51" t="s">
        <v>230</v>
      </c>
      <c r="C110" s="51" t="s">
        <v>228</v>
      </c>
      <c r="D110" s="51"/>
      <c r="E110" s="151">
        <v>37653</v>
      </c>
      <c r="F110" s="170">
        <f>'A.1.0_TablaAntigüedad_Sub'!K110</f>
        <v>26</v>
      </c>
      <c r="G110" s="51"/>
      <c r="H110" s="171">
        <v>1</v>
      </c>
      <c r="I110" s="172">
        <f>'A.0_Tablas salariales SC'!$V$14</f>
        <v>1304.98</v>
      </c>
      <c r="J110" s="172">
        <f>'A.1.0_TablaAntigüedad_Sub'!V110</f>
        <v>385.86</v>
      </c>
      <c r="K110" s="172">
        <f t="shared" si="24"/>
        <v>1690.8400000000001</v>
      </c>
      <c r="L110" s="172">
        <f t="shared" si="25"/>
        <v>1690.8400000000001</v>
      </c>
      <c r="M110" s="172">
        <f>'A.0_Tablas salariales SC'!$AA$14</f>
        <v>450</v>
      </c>
      <c r="N110" s="172">
        <f t="shared" si="26"/>
        <v>0</v>
      </c>
      <c r="O110" s="172"/>
      <c r="P110" s="172">
        <f t="shared" si="26"/>
        <v>0</v>
      </c>
      <c r="Q110" s="172">
        <f t="shared" si="27"/>
        <v>25812.600000000002</v>
      </c>
      <c r="R110" s="172">
        <f>'A.0_Tablas salariales SC'!$X$14</f>
        <v>115.69</v>
      </c>
      <c r="S110" s="172">
        <f>'A.0_Tablas salariales SC'!$W$14</f>
        <v>34.71</v>
      </c>
      <c r="T110" s="172"/>
      <c r="U110" s="172">
        <f t="shared" si="28"/>
        <v>1804.8</v>
      </c>
      <c r="V110" s="172">
        <f t="shared" si="29"/>
        <v>27617.4</v>
      </c>
      <c r="W110" s="172">
        <f t="shared" si="30"/>
        <v>27617.4</v>
      </c>
      <c r="X110" s="173">
        <v>0.34599999999999997</v>
      </c>
      <c r="Y110" s="172">
        <f t="shared" si="32"/>
        <v>9555.6203999999998</v>
      </c>
      <c r="Z110" s="172">
        <f t="shared" si="31"/>
        <v>37173.020400000001</v>
      </c>
      <c r="AA110" s="166"/>
    </row>
    <row r="111" spans="1:27" hidden="1">
      <c r="A111" s="159">
        <v>0</v>
      </c>
      <c r="B111" s="51" t="s">
        <v>230</v>
      </c>
      <c r="C111" s="51" t="s">
        <v>34</v>
      </c>
      <c r="D111" s="51"/>
      <c r="E111" s="151">
        <v>39618</v>
      </c>
      <c r="F111" s="170">
        <f>'A.1.0_TablaAntigüedad_Sub'!K111</f>
        <v>21</v>
      </c>
      <c r="G111" s="51"/>
      <c r="H111" s="171">
        <v>1</v>
      </c>
      <c r="I111" s="172">
        <f>'A.0_Tablas salariales SC'!$V$14</f>
        <v>1304.98</v>
      </c>
      <c r="J111" s="172">
        <f>'A.1.0_TablaAntigüedad_Sub'!V111</f>
        <v>0</v>
      </c>
      <c r="K111" s="172">
        <f t="shared" si="24"/>
        <v>1304.98</v>
      </c>
      <c r="L111" s="172">
        <f t="shared" si="25"/>
        <v>1304.98</v>
      </c>
      <c r="M111" s="172">
        <v>461.42333333333301</v>
      </c>
      <c r="N111" s="172">
        <f t="shared" si="26"/>
        <v>0</v>
      </c>
      <c r="O111" s="172"/>
      <c r="P111" s="172">
        <f t="shared" si="26"/>
        <v>0</v>
      </c>
      <c r="Q111" s="172">
        <f t="shared" si="27"/>
        <v>0</v>
      </c>
      <c r="R111" s="172">
        <v>118.63</v>
      </c>
      <c r="S111" s="172">
        <v>35.593333333333298</v>
      </c>
      <c r="T111" s="172"/>
      <c r="U111" s="172">
        <f t="shared" si="28"/>
        <v>1850.6799999999994</v>
      </c>
      <c r="V111" s="172">
        <f t="shared" si="29"/>
        <v>1850.6799999999994</v>
      </c>
      <c r="W111" s="172">
        <f t="shared" si="30"/>
        <v>0</v>
      </c>
      <c r="X111" s="173">
        <v>0.34599999999999997</v>
      </c>
      <c r="Y111" s="172">
        <f t="shared" si="32"/>
        <v>0</v>
      </c>
      <c r="Z111" s="172">
        <f t="shared" si="31"/>
        <v>0</v>
      </c>
      <c r="AA111" s="166"/>
    </row>
    <row r="112" spans="1:27" hidden="1">
      <c r="A112" s="159">
        <v>0</v>
      </c>
      <c r="B112" s="51" t="s">
        <v>230</v>
      </c>
      <c r="C112" s="51" t="s">
        <v>228</v>
      </c>
      <c r="D112" s="51"/>
      <c r="E112" s="151">
        <v>41230</v>
      </c>
      <c r="F112" s="170">
        <f>'A.1.0_TablaAntigüedad_Sub'!K112</f>
        <v>17</v>
      </c>
      <c r="G112" s="51"/>
      <c r="H112" s="171">
        <v>1</v>
      </c>
      <c r="I112" s="172">
        <f>'A.0_Tablas salariales SC'!$V$14</f>
        <v>1304.98</v>
      </c>
      <c r="J112" s="172">
        <f>'A.1.0_TablaAntigüedad_Sub'!V112</f>
        <v>0</v>
      </c>
      <c r="K112" s="172">
        <f t="shared" si="24"/>
        <v>1304.98</v>
      </c>
      <c r="L112" s="172">
        <f t="shared" si="25"/>
        <v>1304.98</v>
      </c>
      <c r="M112" s="172">
        <v>461.42333333333301</v>
      </c>
      <c r="N112" s="172">
        <f t="shared" si="26"/>
        <v>0</v>
      </c>
      <c r="O112" s="172"/>
      <c r="P112" s="172">
        <f t="shared" si="26"/>
        <v>0</v>
      </c>
      <c r="Q112" s="172">
        <f t="shared" si="27"/>
        <v>0</v>
      </c>
      <c r="R112" s="172">
        <v>118.63</v>
      </c>
      <c r="S112" s="172">
        <v>35.593333333333298</v>
      </c>
      <c r="T112" s="172"/>
      <c r="U112" s="172">
        <f t="shared" si="28"/>
        <v>1850.6799999999994</v>
      </c>
      <c r="V112" s="172">
        <f t="shared" si="29"/>
        <v>1850.6799999999994</v>
      </c>
      <c r="W112" s="172">
        <f t="shared" si="30"/>
        <v>0</v>
      </c>
      <c r="X112" s="173">
        <v>0.34599999999999997</v>
      </c>
      <c r="Y112" s="172">
        <f t="shared" si="32"/>
        <v>0</v>
      </c>
      <c r="Z112" s="172">
        <f t="shared" si="31"/>
        <v>0</v>
      </c>
      <c r="AA112" s="166"/>
    </row>
    <row r="113" spans="1:27" hidden="1">
      <c r="A113" s="159">
        <v>0</v>
      </c>
      <c r="B113" s="51" t="s">
        <v>230</v>
      </c>
      <c r="C113" s="51" t="s">
        <v>228</v>
      </c>
      <c r="D113" s="51"/>
      <c r="E113" s="151">
        <v>41230</v>
      </c>
      <c r="F113" s="170">
        <f>'A.1.0_TablaAntigüedad_Sub'!K113</f>
        <v>17</v>
      </c>
      <c r="G113" s="51"/>
      <c r="H113" s="171">
        <v>1</v>
      </c>
      <c r="I113" s="172">
        <f>'A.0_Tablas salariales SC'!$V$14</f>
        <v>1304.98</v>
      </c>
      <c r="J113" s="172">
        <f>'A.1.0_TablaAntigüedad_Sub'!V113</f>
        <v>0</v>
      </c>
      <c r="K113" s="172">
        <f t="shared" si="24"/>
        <v>1304.98</v>
      </c>
      <c r="L113" s="172">
        <f t="shared" si="25"/>
        <v>1304.98</v>
      </c>
      <c r="M113" s="172">
        <v>461.42333333333301</v>
      </c>
      <c r="N113" s="172">
        <f t="shared" si="26"/>
        <v>0</v>
      </c>
      <c r="O113" s="172"/>
      <c r="P113" s="172">
        <f t="shared" si="26"/>
        <v>0</v>
      </c>
      <c r="Q113" s="172">
        <f t="shared" si="27"/>
        <v>0</v>
      </c>
      <c r="R113" s="172">
        <v>118.63</v>
      </c>
      <c r="S113" s="172">
        <v>35.593333333333298</v>
      </c>
      <c r="T113" s="172"/>
      <c r="U113" s="172">
        <f t="shared" si="28"/>
        <v>1850.6799999999994</v>
      </c>
      <c r="V113" s="172">
        <f t="shared" si="29"/>
        <v>1850.6799999999994</v>
      </c>
      <c r="W113" s="172">
        <f t="shared" si="30"/>
        <v>0</v>
      </c>
      <c r="X113" s="173">
        <v>0.34599999999999997</v>
      </c>
      <c r="Y113" s="172">
        <f t="shared" si="32"/>
        <v>0</v>
      </c>
      <c r="Z113" s="172">
        <f t="shared" si="31"/>
        <v>0</v>
      </c>
      <c r="AA113" s="166"/>
    </row>
    <row r="114" spans="1:27" hidden="1">
      <c r="A114" s="159">
        <v>0</v>
      </c>
      <c r="B114" s="51" t="s">
        <v>230</v>
      </c>
      <c r="C114" s="51" t="s">
        <v>228</v>
      </c>
      <c r="D114" s="51"/>
      <c r="E114" s="151">
        <v>41230</v>
      </c>
      <c r="F114" s="170">
        <f>'A.1.0_TablaAntigüedad_Sub'!K114</f>
        <v>17</v>
      </c>
      <c r="G114" s="51"/>
      <c r="H114" s="171">
        <v>1</v>
      </c>
      <c r="I114" s="172">
        <f>'A.0_Tablas salariales SC'!$V$14</f>
        <v>1304.98</v>
      </c>
      <c r="J114" s="172">
        <f>'A.1.0_TablaAntigüedad_Sub'!V114</f>
        <v>0</v>
      </c>
      <c r="K114" s="172">
        <f t="shared" si="24"/>
        <v>1304.98</v>
      </c>
      <c r="L114" s="172">
        <f t="shared" si="25"/>
        <v>1304.98</v>
      </c>
      <c r="M114" s="172">
        <v>461.42333333333301</v>
      </c>
      <c r="N114" s="172">
        <f t="shared" si="26"/>
        <v>0</v>
      </c>
      <c r="O114" s="172"/>
      <c r="P114" s="172">
        <f t="shared" si="26"/>
        <v>0</v>
      </c>
      <c r="Q114" s="172">
        <f t="shared" si="27"/>
        <v>0</v>
      </c>
      <c r="R114" s="172">
        <v>118.63</v>
      </c>
      <c r="S114" s="172">
        <v>35.593333333333298</v>
      </c>
      <c r="T114" s="172"/>
      <c r="U114" s="172">
        <f t="shared" si="28"/>
        <v>1850.6799999999994</v>
      </c>
      <c r="V114" s="172">
        <f t="shared" si="29"/>
        <v>1850.6799999999994</v>
      </c>
      <c r="W114" s="172">
        <f t="shared" si="30"/>
        <v>0</v>
      </c>
      <c r="X114" s="173">
        <v>0.34599999999999997</v>
      </c>
      <c r="Y114" s="172">
        <f t="shared" si="32"/>
        <v>0</v>
      </c>
      <c r="Z114" s="172">
        <f t="shared" si="31"/>
        <v>0</v>
      </c>
      <c r="AA114" s="166"/>
    </row>
    <row r="115" spans="1:27" hidden="1">
      <c r="A115" s="159">
        <v>0</v>
      </c>
      <c r="B115" s="51" t="s">
        <v>230</v>
      </c>
      <c r="C115" s="51" t="s">
        <v>228</v>
      </c>
      <c r="D115" s="51"/>
      <c r="E115" s="151">
        <v>41230</v>
      </c>
      <c r="F115" s="170">
        <f>'A.1.0_TablaAntigüedad_Sub'!K115</f>
        <v>17</v>
      </c>
      <c r="G115" s="51"/>
      <c r="H115" s="171">
        <v>1</v>
      </c>
      <c r="I115" s="172">
        <f>'A.0_Tablas salariales SC'!$V$14</f>
        <v>1304.98</v>
      </c>
      <c r="J115" s="172">
        <f>'A.1.0_TablaAntigüedad_Sub'!V115</f>
        <v>0</v>
      </c>
      <c r="K115" s="172">
        <f t="shared" si="24"/>
        <v>1304.98</v>
      </c>
      <c r="L115" s="172">
        <f t="shared" si="25"/>
        <v>1304.98</v>
      </c>
      <c r="M115" s="172">
        <v>461.42333333333301</v>
      </c>
      <c r="N115" s="172">
        <f t="shared" si="26"/>
        <v>0</v>
      </c>
      <c r="O115" s="172"/>
      <c r="P115" s="172">
        <f t="shared" si="26"/>
        <v>0</v>
      </c>
      <c r="Q115" s="172">
        <f t="shared" si="27"/>
        <v>0</v>
      </c>
      <c r="R115" s="172">
        <v>118.63</v>
      </c>
      <c r="S115" s="172">
        <v>35.593333333333298</v>
      </c>
      <c r="T115" s="172"/>
      <c r="U115" s="172">
        <f t="shared" si="28"/>
        <v>1850.6799999999994</v>
      </c>
      <c r="V115" s="172">
        <f t="shared" si="29"/>
        <v>1850.6799999999994</v>
      </c>
      <c r="W115" s="172">
        <f t="shared" si="30"/>
        <v>0</v>
      </c>
      <c r="X115" s="173">
        <v>0.34599999999999997</v>
      </c>
      <c r="Y115" s="172">
        <f t="shared" si="32"/>
        <v>0</v>
      </c>
      <c r="Z115" s="172">
        <f t="shared" si="31"/>
        <v>0</v>
      </c>
      <c r="AA115" s="166"/>
    </row>
    <row r="116" spans="1:27" hidden="1">
      <c r="A116" s="159">
        <v>0</v>
      </c>
      <c r="B116" s="51" t="s">
        <v>230</v>
      </c>
      <c r="C116" s="51" t="s">
        <v>34</v>
      </c>
      <c r="D116" s="51"/>
      <c r="E116" s="151">
        <v>38972</v>
      </c>
      <c r="F116" s="170">
        <f>'A.1.0_TablaAntigüedad_Sub'!K116</f>
        <v>23</v>
      </c>
      <c r="G116" s="51"/>
      <c r="H116" s="171">
        <v>1</v>
      </c>
      <c r="I116" s="172">
        <f>'A.0_Tablas salariales SC'!$V$14</f>
        <v>1304.98</v>
      </c>
      <c r="J116" s="172">
        <f>'A.1.0_TablaAntigüedad_Sub'!V116</f>
        <v>0</v>
      </c>
      <c r="K116" s="172">
        <f t="shared" si="24"/>
        <v>1304.98</v>
      </c>
      <c r="L116" s="172">
        <f t="shared" si="25"/>
        <v>1304.98</v>
      </c>
      <c r="M116" s="172">
        <v>461.42333333333301</v>
      </c>
      <c r="N116" s="172">
        <f t="shared" si="26"/>
        <v>0</v>
      </c>
      <c r="O116" s="172"/>
      <c r="P116" s="172">
        <f t="shared" si="26"/>
        <v>0</v>
      </c>
      <c r="Q116" s="172">
        <f t="shared" si="27"/>
        <v>0</v>
      </c>
      <c r="R116" s="172">
        <v>118.63</v>
      </c>
      <c r="S116" s="172">
        <v>35.593333333333298</v>
      </c>
      <c r="T116" s="172"/>
      <c r="U116" s="172">
        <f t="shared" si="28"/>
        <v>1850.6799999999994</v>
      </c>
      <c r="V116" s="172">
        <f t="shared" si="29"/>
        <v>1850.6799999999994</v>
      </c>
      <c r="W116" s="172">
        <f t="shared" si="30"/>
        <v>0</v>
      </c>
      <c r="X116" s="173">
        <v>0.34599999999999997</v>
      </c>
      <c r="Y116" s="172">
        <f t="shared" si="32"/>
        <v>0</v>
      </c>
      <c r="Z116" s="172">
        <f t="shared" si="31"/>
        <v>0</v>
      </c>
      <c r="AA116" s="166"/>
    </row>
    <row r="117" spans="1:27">
      <c r="A117" s="154"/>
      <c r="B117" s="154"/>
      <c r="C117" s="154"/>
      <c r="D117" s="154"/>
      <c r="E117" s="154"/>
      <c r="F117" s="154"/>
      <c r="G117" s="154"/>
      <c r="H117" s="154"/>
      <c r="I117" s="154"/>
      <c r="J117" s="154"/>
      <c r="K117" s="154"/>
      <c r="L117" s="154"/>
      <c r="M117" s="154"/>
      <c r="N117" s="164"/>
      <c r="O117" s="154"/>
      <c r="P117" s="154"/>
      <c r="Q117" s="154"/>
      <c r="R117" s="154"/>
      <c r="S117" s="154"/>
      <c r="T117" s="154"/>
      <c r="U117" s="154"/>
      <c r="V117" s="154"/>
      <c r="W117" s="154"/>
      <c r="X117" s="154"/>
      <c r="Y117" s="154"/>
      <c r="Z117" s="154"/>
      <c r="AA117" s="168">
        <f>+(SUM(Z92:Z116))</f>
        <v>659645.39853000001</v>
      </c>
    </row>
    <row r="118" spans="1:27">
      <c r="A118" s="159">
        <v>1</v>
      </c>
      <c r="B118" s="51" t="s">
        <v>232</v>
      </c>
      <c r="C118" s="51" t="s">
        <v>34</v>
      </c>
      <c r="D118" s="51"/>
      <c r="E118" s="151">
        <v>39284</v>
      </c>
      <c r="F118" s="170">
        <f>'A.1.0_TablaAntigüedad_Sub'!K118</f>
        <v>22</v>
      </c>
      <c r="G118" s="51"/>
      <c r="H118" s="171">
        <v>1</v>
      </c>
      <c r="I118" s="172">
        <f>'A.0_Tablas salariales SC'!$V$17</f>
        <v>1363.97</v>
      </c>
      <c r="J118" s="172">
        <f>'A.1.0_TablaAntigüedad_Sub'!V118</f>
        <v>280.79000000000002</v>
      </c>
      <c r="K118" s="172">
        <f>I118+J118</f>
        <v>1644.76</v>
      </c>
      <c r="L118" s="172">
        <f>I118+J118</f>
        <v>1644.76</v>
      </c>
      <c r="M118" s="172">
        <f>'A.0_Tablas salariales SC'!$AA$17</f>
        <v>450</v>
      </c>
      <c r="N118" s="172">
        <f>I118*0.25*0</f>
        <v>0</v>
      </c>
      <c r="O118" s="172"/>
      <c r="P118" s="172">
        <v>0</v>
      </c>
      <c r="Q118" s="172">
        <f>IF(A118&gt;0,((I118*I$4)+(J118*J$4)+(K118*K$4)+(P118*P$4)+(L118*L$4)+(M118*M$4)+(N118*N$4)+(O118*O$4)),0)</f>
        <v>25121.399999999998</v>
      </c>
      <c r="R118" s="172">
        <f>'A.0_Tablas salariales SC'!$X$17</f>
        <v>115.69</v>
      </c>
      <c r="S118" s="172">
        <f>'A.0_Tablas salariales SC'!$W$17</f>
        <v>34.71</v>
      </c>
      <c r="T118" s="172"/>
      <c r="U118" s="172">
        <f>(R118*R$4)+(S118*S$4)+T118</f>
        <v>1804.8</v>
      </c>
      <c r="V118" s="172">
        <f>+Q118+U118</f>
        <v>26926.199999999997</v>
      </c>
      <c r="W118" s="172">
        <f>V118*H118*A118</f>
        <v>26926.199999999997</v>
      </c>
      <c r="X118" s="173">
        <v>0.34599999999999997</v>
      </c>
      <c r="Y118" s="172">
        <f t="shared" si="32"/>
        <v>9316.4651999999987</v>
      </c>
      <c r="Z118" s="172">
        <f>W118+Y118</f>
        <v>36242.665199999996</v>
      </c>
      <c r="AA118" s="166"/>
    </row>
    <row r="119" spans="1:27">
      <c r="A119" s="159">
        <v>1</v>
      </c>
      <c r="B119" s="51" t="s">
        <v>232</v>
      </c>
      <c r="C119" s="51" t="s">
        <v>34</v>
      </c>
      <c r="D119" s="51"/>
      <c r="E119" s="151">
        <v>39285</v>
      </c>
      <c r="F119" s="170">
        <f>'A.1.0_TablaAntigüedad_Sub'!K119</f>
        <v>22</v>
      </c>
      <c r="G119" s="51"/>
      <c r="H119" s="171">
        <v>1</v>
      </c>
      <c r="I119" s="172">
        <f>'A.0_Tablas salariales SC'!$V$17</f>
        <v>1363.97</v>
      </c>
      <c r="J119" s="172">
        <f>'A.1.0_TablaAntigüedad_Sub'!V119</f>
        <v>280.79000000000002</v>
      </c>
      <c r="K119" s="172">
        <f>I119+J119</f>
        <v>1644.76</v>
      </c>
      <c r="L119" s="172">
        <f>I119+J119</f>
        <v>1644.76</v>
      </c>
      <c r="M119" s="172">
        <f>'A.0_Tablas salariales SC'!$AA$17</f>
        <v>450</v>
      </c>
      <c r="N119" s="172">
        <f>I119*0.25*0</f>
        <v>0</v>
      </c>
      <c r="O119" s="172"/>
      <c r="P119" s="172">
        <v>0</v>
      </c>
      <c r="Q119" s="172">
        <f>IF(A119&gt;0,((I119*I$4)+(J119*J$4)+(K119*K$4)+(P119*P$4)+(L119*L$4)+(M119*M$4)+(N119*N$4)+(O119*O$4)),0)</f>
        <v>25121.399999999998</v>
      </c>
      <c r="R119" s="172">
        <f>'A.0_Tablas salariales SC'!$X$17</f>
        <v>115.69</v>
      </c>
      <c r="S119" s="172">
        <f>'A.0_Tablas salariales SC'!$W$17</f>
        <v>34.71</v>
      </c>
      <c r="T119" s="172"/>
      <c r="U119" s="172">
        <f>(R119*R$4)+(S119*S$4)+T119</f>
        <v>1804.8</v>
      </c>
      <c r="V119" s="172">
        <f>+Q119+U119</f>
        <v>26926.199999999997</v>
      </c>
      <c r="W119" s="172">
        <f>V119*H119*A119</f>
        <v>26926.199999999997</v>
      </c>
      <c r="X119" s="173">
        <v>0.34599999999999997</v>
      </c>
      <c r="Y119" s="172">
        <f>V119*A119*H119*X119</f>
        <v>9316.4651999999987</v>
      </c>
      <c r="Z119" s="172">
        <f>W119+Y119</f>
        <v>36242.665199999996</v>
      </c>
      <c r="AA119" s="166"/>
    </row>
    <row r="120" spans="1:27">
      <c r="A120" s="159">
        <v>1</v>
      </c>
      <c r="B120" s="51" t="s">
        <v>232</v>
      </c>
      <c r="C120" s="51" t="s">
        <v>34</v>
      </c>
      <c r="D120" s="51"/>
      <c r="E120" s="151">
        <v>39286</v>
      </c>
      <c r="F120" s="170">
        <f>'A.1.0_TablaAntigüedad_Sub'!K120</f>
        <v>22</v>
      </c>
      <c r="G120" s="51"/>
      <c r="H120" s="171">
        <v>1</v>
      </c>
      <c r="I120" s="172">
        <f>'A.0_Tablas salariales SC'!$V$17</f>
        <v>1363.97</v>
      </c>
      <c r="J120" s="172">
        <f>'A.1.0_TablaAntigüedad_Sub'!V120</f>
        <v>280.79000000000002</v>
      </c>
      <c r="K120" s="172">
        <f>I120+J120</f>
        <v>1644.76</v>
      </c>
      <c r="L120" s="172">
        <f>I120+J120</f>
        <v>1644.76</v>
      </c>
      <c r="M120" s="172">
        <f>'A.0_Tablas salariales SC'!$AA$17</f>
        <v>450</v>
      </c>
      <c r="N120" s="172">
        <f>I120*0.25*0</f>
        <v>0</v>
      </c>
      <c r="O120" s="172"/>
      <c r="P120" s="172">
        <v>0</v>
      </c>
      <c r="Q120" s="172">
        <f>IF(A120&gt;0,((I120*I$4)+(J120*J$4)+(K120*K$4)+(P120*P$4)+(L120*L$4)+(M120*M$4)+(N120*N$4)+(O120*O$4)),0)</f>
        <v>25121.399999999998</v>
      </c>
      <c r="R120" s="172">
        <f>'A.0_Tablas salariales SC'!$X$17</f>
        <v>115.69</v>
      </c>
      <c r="S120" s="172">
        <f>'A.0_Tablas salariales SC'!$W$17</f>
        <v>34.71</v>
      </c>
      <c r="T120" s="172"/>
      <c r="U120" s="172">
        <f>(R120*R$4)+(S120*S$4)+T120</f>
        <v>1804.8</v>
      </c>
      <c r="V120" s="172">
        <f>+Q120+U120</f>
        <v>26926.199999999997</v>
      </c>
      <c r="W120" s="172">
        <f>V120*H120*A120</f>
        <v>26926.199999999997</v>
      </c>
      <c r="X120" s="173">
        <v>0.34599999999999997</v>
      </c>
      <c r="Y120" s="172">
        <f>V120*A120*H120*X120</f>
        <v>9316.4651999999987</v>
      </c>
      <c r="Z120" s="172">
        <f>W120+Y120</f>
        <v>36242.665199999996</v>
      </c>
      <c r="AA120" s="166"/>
    </row>
    <row r="121" spans="1:27">
      <c r="A121" s="159">
        <v>1</v>
      </c>
      <c r="B121" s="51" t="s">
        <v>232</v>
      </c>
      <c r="C121" s="51" t="s">
        <v>34</v>
      </c>
      <c r="D121" s="51"/>
      <c r="E121" s="151">
        <v>39287</v>
      </c>
      <c r="F121" s="170">
        <f>'A.1.0_TablaAntigüedad_Sub'!K121</f>
        <v>22</v>
      </c>
      <c r="G121" s="51"/>
      <c r="H121" s="171">
        <v>1</v>
      </c>
      <c r="I121" s="172">
        <f>'A.0_Tablas salariales SC'!$V$17</f>
        <v>1363.97</v>
      </c>
      <c r="J121" s="172">
        <f>'A.1.0_TablaAntigüedad_Sub'!V121</f>
        <v>280.79000000000002</v>
      </c>
      <c r="K121" s="172">
        <f>I121+J121</f>
        <v>1644.76</v>
      </c>
      <c r="L121" s="172">
        <f>I121+J121</f>
        <v>1644.76</v>
      </c>
      <c r="M121" s="172">
        <f>'A.0_Tablas salariales SC'!$AA$17</f>
        <v>450</v>
      </c>
      <c r="N121" s="172">
        <f>I121*0.25*0</f>
        <v>0</v>
      </c>
      <c r="O121" s="172"/>
      <c r="P121" s="172">
        <v>0</v>
      </c>
      <c r="Q121" s="172">
        <f>IF(A121&gt;0,((I121*I$4)+(J121*J$4)+(K121*K$4)+(P121*P$4)+(L121*L$4)+(M121*M$4)+(N121*N$4)+(O121*O$4)),0)</f>
        <v>25121.399999999998</v>
      </c>
      <c r="R121" s="172">
        <f>'A.0_Tablas salariales SC'!$X$17</f>
        <v>115.69</v>
      </c>
      <c r="S121" s="172">
        <f>'A.0_Tablas salariales SC'!$W$17</f>
        <v>34.71</v>
      </c>
      <c r="T121" s="172"/>
      <c r="U121" s="172">
        <f>(R121*R$4)+(S121*S$4)+T121</f>
        <v>1804.8</v>
      </c>
      <c r="V121" s="172">
        <f>+Q121+U121</f>
        <v>26926.199999999997</v>
      </c>
      <c r="W121" s="172">
        <f>V121*H121*A121</f>
        <v>26926.199999999997</v>
      </c>
      <c r="X121" s="173">
        <v>0.34599999999999997</v>
      </c>
      <c r="Y121" s="172">
        <f>V121*A121*H121*X121</f>
        <v>9316.4651999999987</v>
      </c>
      <c r="Z121" s="172">
        <f>W121+Y121</f>
        <v>36242.665199999996</v>
      </c>
      <c r="AA121" s="166"/>
    </row>
    <row r="122" spans="1:27" hidden="1">
      <c r="A122" s="159">
        <v>0</v>
      </c>
      <c r="B122" s="51" t="s">
        <v>232</v>
      </c>
      <c r="C122" s="51" t="s">
        <v>34</v>
      </c>
      <c r="D122" s="51"/>
      <c r="E122" s="151">
        <v>39284</v>
      </c>
      <c r="F122" s="170">
        <f>'A.1.0_TablaAntigüedad_Sub'!K122</f>
        <v>22</v>
      </c>
      <c r="G122" s="51"/>
      <c r="H122" s="171">
        <v>1</v>
      </c>
      <c r="I122" s="172">
        <f>'A.0_Tablas salariales SC'!$V$17</f>
        <v>1363.97</v>
      </c>
      <c r="J122" s="172">
        <f>'A.1.0_TablaAntigüedad_Sub'!V122</f>
        <v>0</v>
      </c>
      <c r="K122" s="172">
        <f>I122+J122</f>
        <v>1363.97</v>
      </c>
      <c r="L122" s="172">
        <f>I122+J122</f>
        <v>1363.97</v>
      </c>
      <c r="M122" s="172">
        <v>461.42333333333301</v>
      </c>
      <c r="N122" s="172">
        <f>I122*0.25*0</f>
        <v>0</v>
      </c>
      <c r="O122" s="172"/>
      <c r="P122" s="172">
        <v>0</v>
      </c>
      <c r="Q122" s="172">
        <f>IF(A122&gt;0,((I122*I$4)+(J122*J$4)+(K122*K$4)+(P122*P$4)+(L122*L$4)+(M122*M$4)+(N122*N$4)+(O122*O$4)),0)</f>
        <v>0</v>
      </c>
      <c r="R122" s="172">
        <v>118.63</v>
      </c>
      <c r="S122" s="172">
        <v>35.593333333333298</v>
      </c>
      <c r="T122" s="172"/>
      <c r="U122" s="172">
        <f>(R122*R$4)+(S122*S$4)+T122</f>
        <v>1850.6799999999994</v>
      </c>
      <c r="V122" s="172">
        <f>+Q122+U122</f>
        <v>1850.6799999999994</v>
      </c>
      <c r="W122" s="172">
        <f>V122*H122*A122</f>
        <v>0</v>
      </c>
      <c r="X122" s="173">
        <v>0.34599999999999997</v>
      </c>
      <c r="Y122" s="172">
        <f t="shared" si="32"/>
        <v>0</v>
      </c>
      <c r="Z122" s="172">
        <f>W122+Y122</f>
        <v>0</v>
      </c>
      <c r="AA122" s="166"/>
    </row>
    <row r="123" spans="1:27">
      <c r="A123" s="154"/>
      <c r="B123" s="154"/>
      <c r="C123" s="154"/>
      <c r="D123" s="154"/>
      <c r="E123" s="154"/>
      <c r="F123" s="154"/>
      <c r="G123" s="154"/>
      <c r="H123" s="154"/>
      <c r="I123" s="163"/>
      <c r="J123" s="154"/>
      <c r="K123" s="163"/>
      <c r="L123" s="163"/>
      <c r="M123" s="163"/>
      <c r="N123" s="164"/>
      <c r="O123" s="163"/>
      <c r="P123" s="154"/>
      <c r="Q123" s="163"/>
      <c r="R123" s="154"/>
      <c r="S123" s="154"/>
      <c r="T123" s="154"/>
      <c r="U123" s="163"/>
      <c r="V123" s="163"/>
      <c r="W123" s="163"/>
      <c r="X123" s="167"/>
      <c r="Y123" s="163"/>
      <c r="Z123" s="163"/>
      <c r="AA123" s="168">
        <f>SUM(Z118:Z122)</f>
        <v>144970.66079999998</v>
      </c>
    </row>
    <row r="124" spans="1:27">
      <c r="A124" s="159">
        <v>1</v>
      </c>
      <c r="B124" s="51" t="s">
        <v>233</v>
      </c>
      <c r="C124" s="51" t="s">
        <v>228</v>
      </c>
      <c r="D124" s="51"/>
      <c r="E124" s="151">
        <v>40198</v>
      </c>
      <c r="F124" s="170">
        <f>'A.1.0_TablaAntigüedad_Sub'!K124</f>
        <v>19</v>
      </c>
      <c r="G124" s="51"/>
      <c r="H124" s="171">
        <v>1</v>
      </c>
      <c r="I124" s="172">
        <f>'A.0_Tablas salariales SC'!$V$27</f>
        <v>1747.25</v>
      </c>
      <c r="J124" s="172">
        <f>'A.1.0_TablaAntigüedad_Sub'!V124</f>
        <v>364.3</v>
      </c>
      <c r="K124" s="172">
        <f>I124+J124</f>
        <v>2111.5500000000002</v>
      </c>
      <c r="L124" s="172">
        <f>I124+J124</f>
        <v>2111.5500000000002</v>
      </c>
      <c r="M124" s="172">
        <f>'A.0_Tablas salariales SC'!$AA$27</f>
        <v>450</v>
      </c>
      <c r="N124" s="172">
        <f>I124*0.25*0</f>
        <v>0</v>
      </c>
      <c r="O124" s="172"/>
      <c r="P124" s="172">
        <v>0</v>
      </c>
      <c r="Q124" s="172">
        <f>IF(A124&gt;0,((I124*I$4)+(J124*J$4)+(K124*K$4)+(P124*P$4)+(L124*L$4)+(M124*M$4)+(N124*N$4)+(O124*O$4)),0)</f>
        <v>32123.249999999996</v>
      </c>
      <c r="R124" s="172">
        <f>'A.0_Tablas salariales SC'!X27</f>
        <v>115.69</v>
      </c>
      <c r="S124" s="172">
        <f>'A.0_Tablas salariales SC'!$W$27</f>
        <v>34.71</v>
      </c>
      <c r="T124" s="172"/>
      <c r="U124" s="172">
        <f>(R124*R$4)+(S124*S$4)+T124</f>
        <v>1804.8</v>
      </c>
      <c r="V124" s="172">
        <f>+Q124+U124</f>
        <v>33928.049999999996</v>
      </c>
      <c r="W124" s="172">
        <f>V124*H124*A124</f>
        <v>33928.049999999996</v>
      </c>
      <c r="X124" s="173">
        <v>0.34599999999999997</v>
      </c>
      <c r="Y124" s="172">
        <f t="shared" si="32"/>
        <v>11739.105299999997</v>
      </c>
      <c r="Z124" s="172">
        <f>W124+Y124</f>
        <v>45667.155299999991</v>
      </c>
      <c r="AA124" s="166"/>
    </row>
    <row r="125" spans="1:27">
      <c r="A125" s="159">
        <v>1</v>
      </c>
      <c r="B125" s="51" t="s">
        <v>233</v>
      </c>
      <c r="C125" s="51" t="s">
        <v>228</v>
      </c>
      <c r="D125" s="51"/>
      <c r="E125" s="151">
        <v>37641</v>
      </c>
      <c r="F125" s="170">
        <f>'A.1.0_TablaAntigüedad_Sub'!K125</f>
        <v>26</v>
      </c>
      <c r="G125" s="51"/>
      <c r="H125" s="171">
        <v>1</v>
      </c>
      <c r="I125" s="172">
        <f>'A.0_Tablas salariales SC'!$V$27</f>
        <v>1747.25</v>
      </c>
      <c r="J125" s="172">
        <f>'A.1.0_TablaAntigüedad_Sub'!V125</f>
        <v>532.79999999999995</v>
      </c>
      <c r="K125" s="172">
        <f>I125+J125</f>
        <v>2280.0500000000002</v>
      </c>
      <c r="L125" s="172">
        <f>I125+J125</f>
        <v>2280.0500000000002</v>
      </c>
      <c r="M125" s="172">
        <f>'A.0_Tablas salariales SC'!$AA$27</f>
        <v>450</v>
      </c>
      <c r="N125" s="172">
        <f>I125*0.25*0</f>
        <v>0</v>
      </c>
      <c r="O125" s="172"/>
      <c r="P125" s="172">
        <v>0</v>
      </c>
      <c r="Q125" s="172">
        <f>IF(A125&gt;0,((I125*I$4)+(J125*J$4)+(K125*K$4)+(P125*P$4)+(L125*L$4)+(M125*M$4)+(N125*N$4)+(O125*O$4)),0)</f>
        <v>34650.75</v>
      </c>
      <c r="R125" s="172">
        <f>'A.0_Tablas salariales SC'!X27</f>
        <v>115.69</v>
      </c>
      <c r="S125" s="172">
        <f>'A.0_Tablas salariales SC'!$W$27</f>
        <v>34.71</v>
      </c>
      <c r="T125" s="172"/>
      <c r="U125" s="172">
        <f>(R125*R$4)+(S125*S$4)+T125</f>
        <v>1804.8</v>
      </c>
      <c r="V125" s="172">
        <f>+Q125+U125</f>
        <v>36455.550000000003</v>
      </c>
      <c r="W125" s="172">
        <f>V125*H125*A125</f>
        <v>36455.550000000003</v>
      </c>
      <c r="X125" s="173">
        <v>0.34599999999999997</v>
      </c>
      <c r="Y125" s="172">
        <f t="shared" si="32"/>
        <v>12613.6203</v>
      </c>
      <c r="Z125" s="172">
        <f>W125+Y125</f>
        <v>49069.170300000005</v>
      </c>
      <c r="AA125" s="166"/>
    </row>
    <row r="126" spans="1:27" hidden="1">
      <c r="A126" s="159">
        <v>0</v>
      </c>
      <c r="B126" s="51" t="s">
        <v>234</v>
      </c>
      <c r="C126" s="51" t="s">
        <v>228</v>
      </c>
      <c r="D126" s="51"/>
      <c r="E126" s="151">
        <v>37641</v>
      </c>
      <c r="F126" s="170">
        <f>'A.1.0_TablaAntigüedad_Sub'!K126</f>
        <v>26</v>
      </c>
      <c r="G126" s="51"/>
      <c r="H126" s="171">
        <v>1</v>
      </c>
      <c r="I126" s="172">
        <f>'A.0_Tablas salariales SC'!$V$28</f>
        <v>1998.41</v>
      </c>
      <c r="J126" s="172">
        <f>'A.1.0_TablaAntigüedad_Sub'!V126</f>
        <v>0</v>
      </c>
      <c r="K126" s="172">
        <f>I126+J126</f>
        <v>1998.41</v>
      </c>
      <c r="L126" s="172">
        <f>I126+J126</f>
        <v>1998.41</v>
      </c>
      <c r="M126" s="172">
        <f>'A.0_Tablas salariales SC'!$AA$17</f>
        <v>450</v>
      </c>
      <c r="N126" s="172">
        <f>I126*0.25*0</f>
        <v>0</v>
      </c>
      <c r="O126" s="172"/>
      <c r="P126" s="172">
        <v>0</v>
      </c>
      <c r="Q126" s="172">
        <f>IF(A126&gt;0,((I126*I$4)+(J126*J$4)+(K126*K$4)+(P126*P$4)+(L126*L$4)+(M126*M$4)+(N126*N$4)+(O126*O$4)),0)</f>
        <v>0</v>
      </c>
      <c r="R126" s="172">
        <f>'A.0_Tablas salariales SC'!X28</f>
        <v>115.69</v>
      </c>
      <c r="S126" s="172">
        <f>'A.0_Tablas salariales SC'!$W$17</f>
        <v>34.71</v>
      </c>
      <c r="T126" s="172"/>
      <c r="U126" s="172">
        <f>(R126*R$4)+(S126*S$4)+T126</f>
        <v>1804.8</v>
      </c>
      <c r="V126" s="172">
        <f>+Q126+U126</f>
        <v>1804.8</v>
      </c>
      <c r="W126" s="172">
        <f>V126*H126*A126</f>
        <v>0</v>
      </c>
      <c r="X126" s="173">
        <v>0.34599999999999997</v>
      </c>
      <c r="Y126" s="172">
        <f t="shared" si="32"/>
        <v>0</v>
      </c>
      <c r="Z126" s="172">
        <f>W126+Y126</f>
        <v>0</v>
      </c>
      <c r="AA126" s="166"/>
    </row>
    <row r="127" spans="1:27">
      <c r="A127" s="159">
        <v>1</v>
      </c>
      <c r="B127" s="51" t="s">
        <v>234</v>
      </c>
      <c r="C127" s="47" t="s">
        <v>34</v>
      </c>
      <c r="E127" s="415">
        <v>43225</v>
      </c>
      <c r="F127" s="170">
        <f>'A.1.0_TablaAntigüedad_Sub'!K127</f>
        <v>11</v>
      </c>
      <c r="H127" s="171">
        <v>1</v>
      </c>
      <c r="I127" s="172">
        <f>'A.0_Tablas salariales SC'!$V$28</f>
        <v>1998.41</v>
      </c>
      <c r="J127" s="172">
        <f>'A.1.0_TablaAntigüedad_Sub'!V127</f>
        <v>240.33</v>
      </c>
      <c r="K127" s="172">
        <f>I127+J127</f>
        <v>2238.7400000000002</v>
      </c>
      <c r="L127" s="172">
        <f>I127+J127</f>
        <v>2238.7400000000002</v>
      </c>
      <c r="M127" s="172">
        <f>'A.0_Tablas salariales SC'!$AA$28</f>
        <v>450</v>
      </c>
      <c r="N127" s="172">
        <f>I127*0.25*0</f>
        <v>0</v>
      </c>
      <c r="O127" s="161"/>
      <c r="P127" s="172">
        <v>0</v>
      </c>
      <c r="Q127" s="172">
        <f>IF(A127&gt;0,((I127*I$4)+(J127*J$4)+(K127*K$4)+(P127*P$4)+(L127*L$4)+(M127*M$4)+(N127*N$4)+(O127*O$4)),0)</f>
        <v>34031.1</v>
      </c>
      <c r="R127" s="172">
        <f>'A.0_Tablas salariales SC'!X28</f>
        <v>115.69</v>
      </c>
      <c r="S127" s="172">
        <f>'A.0_Tablas salariales SC'!$W$28</f>
        <v>34.71</v>
      </c>
      <c r="T127" s="161"/>
      <c r="U127" s="172">
        <f>(R127*R$4)+(S127*S$4)+T127</f>
        <v>1804.8</v>
      </c>
      <c r="V127" s="172">
        <f>+Q127+U127</f>
        <v>35835.9</v>
      </c>
      <c r="W127" s="172">
        <f>V127*H127*A127</f>
        <v>35835.9</v>
      </c>
      <c r="X127" s="173">
        <v>0.34599999999999997</v>
      </c>
      <c r="Y127" s="172">
        <f t="shared" si="32"/>
        <v>12399.2214</v>
      </c>
      <c r="Z127" s="172">
        <f>W127+Y127</f>
        <v>48235.121400000004</v>
      </c>
      <c r="AA127" s="166"/>
    </row>
    <row r="128" spans="1:27">
      <c r="A128" s="154"/>
      <c r="B128" s="154"/>
      <c r="C128" s="154"/>
      <c r="D128" s="154"/>
      <c r="E128" s="154"/>
      <c r="F128" s="154"/>
      <c r="G128" s="154"/>
      <c r="H128" s="154"/>
      <c r="I128" s="154"/>
      <c r="J128" s="154"/>
      <c r="K128" s="154"/>
      <c r="L128" s="154"/>
      <c r="M128" s="154"/>
      <c r="N128" s="164"/>
      <c r="O128" s="154"/>
      <c r="P128" s="154"/>
      <c r="Q128" s="163"/>
      <c r="R128" s="154"/>
      <c r="S128" s="154"/>
      <c r="T128" s="154"/>
      <c r="U128" s="163"/>
      <c r="V128" s="163"/>
      <c r="W128" s="163"/>
      <c r="X128" s="167"/>
      <c r="Y128" s="163"/>
      <c r="Z128" s="163"/>
      <c r="AA128" s="168">
        <f>SUM(Z124:Z127)</f>
        <v>142971.44699999999</v>
      </c>
    </row>
    <row r="129" spans="1:27">
      <c r="A129" s="159">
        <v>1</v>
      </c>
      <c r="B129" s="51" t="s">
        <v>235</v>
      </c>
      <c r="C129" s="51" t="s">
        <v>34</v>
      </c>
      <c r="D129" s="51"/>
      <c r="E129" s="151">
        <v>39482</v>
      </c>
      <c r="F129" s="170">
        <f>'A.1.0_TablaAntigüedad_Sub'!K129</f>
        <v>21</v>
      </c>
      <c r="G129" s="51"/>
      <c r="H129" s="171">
        <v>1</v>
      </c>
      <c r="I129" s="172">
        <f>'A.0_Tablas salariales SC'!V21</f>
        <v>1299.8499999999999</v>
      </c>
      <c r="J129" s="172">
        <f>'A.1.0_TablaAntigüedad_Sub'!V129</f>
        <v>302.98</v>
      </c>
      <c r="K129" s="172">
        <f>I129+J129</f>
        <v>1602.83</v>
      </c>
      <c r="L129" s="172">
        <f>I129+J129</f>
        <v>1602.83</v>
      </c>
      <c r="M129" s="172">
        <f>'A.0_Tablas salariales SC'!$AA$21</f>
        <v>450</v>
      </c>
      <c r="N129" s="172">
        <f>I129*0.25*0</f>
        <v>0</v>
      </c>
      <c r="O129" s="172"/>
      <c r="P129" s="172">
        <v>0</v>
      </c>
      <c r="Q129" s="172">
        <f>IF(A129&gt;0,((I129*I$4)+(J129*J$4)+(K129*K$4)+(P129*P$4)+(L129*L$4)+(M129*M$4)+(N129*N$4)+(O129*O$4)),0)</f>
        <v>24492.449999999997</v>
      </c>
      <c r="R129" s="172">
        <f>'A.0_Tablas salariales SC'!X21</f>
        <v>115.69</v>
      </c>
      <c r="S129" s="172">
        <f>'A.0_Tablas salariales SC'!$W$21</f>
        <v>34.71</v>
      </c>
      <c r="T129" s="172"/>
      <c r="U129" s="172">
        <f>(R129*R$4)+(S129*S$4)+T129</f>
        <v>1804.8</v>
      </c>
      <c r="V129" s="172">
        <f>+Q129+U129</f>
        <v>26297.249999999996</v>
      </c>
      <c r="W129" s="172">
        <f>V129*H129*A129</f>
        <v>26297.249999999996</v>
      </c>
      <c r="X129" s="173">
        <v>0.34599999999999997</v>
      </c>
      <c r="Y129" s="172">
        <f t="shared" si="32"/>
        <v>9098.8484999999982</v>
      </c>
      <c r="Z129" s="172">
        <f>W129+Y129</f>
        <v>35396.098499999993</v>
      </c>
      <c r="AA129" s="166"/>
    </row>
    <row r="130" spans="1:27">
      <c r="A130" s="154"/>
      <c r="B130" s="154"/>
      <c r="C130" s="154"/>
      <c r="D130" s="154"/>
      <c r="E130" s="154"/>
      <c r="F130" s="154"/>
      <c r="G130" s="154"/>
      <c r="H130" s="154"/>
      <c r="I130" s="154"/>
      <c r="J130" s="154"/>
      <c r="K130" s="154"/>
      <c r="L130" s="154"/>
      <c r="M130" s="154"/>
      <c r="N130" s="154"/>
      <c r="O130" s="154"/>
      <c r="P130" s="154"/>
      <c r="Q130" s="154"/>
      <c r="R130" s="154"/>
      <c r="S130" s="154"/>
      <c r="T130" s="154"/>
      <c r="U130" s="154"/>
      <c r="V130" s="154"/>
      <c r="W130" s="154"/>
      <c r="X130" s="154"/>
      <c r="Y130" s="154"/>
      <c r="Z130" s="154"/>
      <c r="AA130" s="168">
        <f>+Z129</f>
        <v>35396.098499999993</v>
      </c>
    </row>
    <row r="131" spans="1:27" ht="6" customHeight="1">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50"/>
    </row>
    <row r="132" spans="1:27">
      <c r="A132" s="467"/>
      <c r="B132" s="787" t="s">
        <v>236</v>
      </c>
      <c r="C132" s="787"/>
      <c r="D132" s="787"/>
      <c r="E132" s="787"/>
      <c r="F132" s="787"/>
      <c r="G132" s="787"/>
      <c r="H132" s="787"/>
      <c r="I132" s="787"/>
      <c r="J132" s="787"/>
      <c r="K132" s="787"/>
      <c r="L132" s="787"/>
      <c r="M132" s="787"/>
      <c r="N132" s="787"/>
      <c r="O132" s="787"/>
      <c r="P132" s="787"/>
      <c r="Q132" s="787"/>
      <c r="R132" s="787"/>
      <c r="S132" s="787"/>
      <c r="T132" s="787"/>
      <c r="U132" s="787"/>
      <c r="V132" s="787"/>
      <c r="W132" s="787"/>
      <c r="X132" s="787"/>
      <c r="Y132" s="787"/>
      <c r="Z132" s="468"/>
      <c r="AA132" s="469">
        <f>SUM(AA5:AA130)</f>
        <v>3040652.5709760003</v>
      </c>
    </row>
    <row r="133" spans="1:27">
      <c r="B133" s="47" t="s">
        <v>237</v>
      </c>
      <c r="E133" s="47" t="s">
        <v>237</v>
      </c>
      <c r="F133" s="47" t="s">
        <v>237</v>
      </c>
      <c r="I133" s="47" t="s">
        <v>237</v>
      </c>
      <c r="J133" s="47" t="s">
        <v>237</v>
      </c>
      <c r="K133" s="47" t="s">
        <v>237</v>
      </c>
      <c r="P133" s="47" t="s">
        <v>237</v>
      </c>
      <c r="Q133" s="47" t="s">
        <v>237</v>
      </c>
      <c r="R133" s="47" t="s">
        <v>237</v>
      </c>
      <c r="S133" s="47" t="s">
        <v>237</v>
      </c>
      <c r="U133" s="47" t="s">
        <v>237</v>
      </c>
      <c r="V133" s="47" t="s">
        <v>237</v>
      </c>
      <c r="X133" s="47" t="s">
        <v>237</v>
      </c>
      <c r="Y133" s="47" t="s">
        <v>237</v>
      </c>
      <c r="Z133" s="47" t="s">
        <v>237</v>
      </c>
    </row>
  </sheetData>
  <mergeCells count="3">
    <mergeCell ref="A1:AA1"/>
    <mergeCell ref="C4:H4"/>
    <mergeCell ref="B132:Y132"/>
  </mergeCells>
  <conditionalFormatting sqref="F5:Z129">
    <cfRule type="cellIs" dxfId="34" priority="1" operator="equal">
      <formula>0</formula>
    </cfRule>
  </conditionalFormatting>
  <pageMargins left="0.74803149606299202" right="0.74803149606299202" top="0.98425196850393704" bottom="0.98425196850393704" header="0" footer="0"/>
  <pageSetup paperSize="9" scale="51"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sheetPr>
  <dimension ref="A1:V137"/>
  <sheetViews>
    <sheetView zoomScale="80" zoomScaleNormal="80" workbookViewId="0">
      <pane xSplit="2" ySplit="3" topLeftCell="C4" activePane="bottomRight" state="frozen"/>
      <selection pane="topRight"/>
      <selection pane="bottomLeft"/>
      <selection pane="bottomRight" activeCell="F23" sqref="F23"/>
    </sheetView>
  </sheetViews>
  <sheetFormatPr baseColWidth="10" defaultColWidth="11.44140625" defaultRowHeight="14.4"/>
  <cols>
    <col min="1" max="1" width="4.88671875" style="47" customWidth="1"/>
    <col min="2" max="2" width="22.5546875" style="47" customWidth="1"/>
    <col min="3" max="3" width="4.6640625" style="47" customWidth="1"/>
    <col min="4" max="4" width="5.109375" style="47" customWidth="1"/>
    <col min="5" max="5" width="11.44140625" style="47" customWidth="1"/>
    <col min="6" max="6" width="14.88671875" style="47" customWidth="1"/>
    <col min="7" max="7" width="18.88671875" style="48" customWidth="1"/>
    <col min="8" max="8" width="9.44140625" style="48" customWidth="1"/>
    <col min="9" max="10" width="11.44140625" style="48"/>
    <col min="11" max="11" width="11.88671875" style="48" customWidth="1"/>
    <col min="12" max="13" width="11.44140625" style="48"/>
    <col min="14" max="14" width="11.88671875" style="48" customWidth="1"/>
    <col min="15" max="16384" width="11.44140625" style="48"/>
  </cols>
  <sheetData>
    <row r="1" spans="1:22" ht="24" customHeight="1">
      <c r="A1" s="788" t="s">
        <v>238</v>
      </c>
      <c r="B1" s="788"/>
      <c r="C1" s="788"/>
      <c r="D1" s="788"/>
      <c r="E1" s="788"/>
      <c r="F1" s="788"/>
      <c r="G1" s="788"/>
      <c r="H1" s="788"/>
      <c r="I1" s="788"/>
      <c r="J1" s="788"/>
      <c r="K1" s="788"/>
      <c r="L1" s="788"/>
      <c r="M1" s="788"/>
      <c r="N1" s="788"/>
      <c r="O1" s="788"/>
      <c r="P1" s="788"/>
      <c r="Q1" s="788"/>
      <c r="R1" s="788"/>
      <c r="S1" s="788"/>
      <c r="T1" s="788"/>
      <c r="U1" s="788"/>
      <c r="V1" s="788"/>
    </row>
    <row r="2" spans="1:22" s="50" customFormat="1" ht="3.75" customHeight="1">
      <c r="A2" s="49"/>
      <c r="B2" s="148"/>
      <c r="C2" s="148"/>
      <c r="D2" s="148"/>
      <c r="E2" s="148"/>
      <c r="F2" s="148"/>
    </row>
    <row r="3" spans="1:22" ht="90" customHeight="1">
      <c r="A3" s="249"/>
      <c r="B3" s="250" t="s">
        <v>139</v>
      </c>
      <c r="C3" s="254" t="s">
        <v>203</v>
      </c>
      <c r="D3" s="254" t="s">
        <v>204</v>
      </c>
      <c r="E3" s="250" t="s">
        <v>205</v>
      </c>
      <c r="F3" s="255" t="s">
        <v>239</v>
      </c>
      <c r="G3" s="255" t="s">
        <v>240</v>
      </c>
      <c r="H3" s="255" t="s">
        <v>241</v>
      </c>
      <c r="I3" s="255" t="s">
        <v>242</v>
      </c>
      <c r="J3" s="255" t="s">
        <v>243</v>
      </c>
      <c r="K3" s="255" t="s">
        <v>244</v>
      </c>
      <c r="L3" s="155" t="s">
        <v>169</v>
      </c>
      <c r="M3" s="155" t="s">
        <v>171</v>
      </c>
      <c r="N3" s="155" t="s">
        <v>172</v>
      </c>
      <c r="O3" s="155" t="s">
        <v>173</v>
      </c>
      <c r="P3" s="155" t="s">
        <v>174</v>
      </c>
      <c r="Q3" s="155" t="s">
        <v>175</v>
      </c>
      <c r="R3" s="155" t="s">
        <v>176</v>
      </c>
      <c r="S3" s="155" t="s">
        <v>177</v>
      </c>
      <c r="T3" s="155" t="s">
        <v>178</v>
      </c>
      <c r="U3" s="155" t="s">
        <v>179</v>
      </c>
      <c r="V3" s="362" t="s">
        <v>877</v>
      </c>
    </row>
    <row r="4" spans="1:22" ht="19.5" customHeight="1">
      <c r="A4" s="149"/>
      <c r="B4" s="93"/>
      <c r="C4" s="789" t="s">
        <v>225</v>
      </c>
      <c r="D4" s="789"/>
      <c r="E4" s="789"/>
      <c r="F4" s="93"/>
      <c r="G4" s="150">
        <f>'A. Resumen Costes Personal'!D19</f>
        <v>2025</v>
      </c>
      <c r="H4" s="96"/>
      <c r="I4" s="150">
        <f>'A. Resumen Costes Personal'!D20</f>
        <v>2033</v>
      </c>
      <c r="J4" s="96"/>
      <c r="K4" s="96"/>
      <c r="L4" s="156"/>
      <c r="M4" s="156"/>
      <c r="N4" s="156"/>
      <c r="O4" s="156"/>
      <c r="P4" s="156"/>
      <c r="Q4" s="156"/>
      <c r="R4" s="156"/>
      <c r="S4" s="156"/>
      <c r="T4" s="156"/>
      <c r="U4" s="156"/>
      <c r="V4" s="156"/>
    </row>
    <row r="5" spans="1:22">
      <c r="A5" s="47">
        <v>0</v>
      </c>
      <c r="B5" s="51" t="str">
        <f>'A.1_Tabla Costes Subrogación'!B5</f>
        <v xml:space="preserve"> PEÓN  </v>
      </c>
      <c r="C5" s="51"/>
      <c r="D5" s="51"/>
      <c r="E5" s="151">
        <f>'A.1_Tabla Costes Subrogación'!E5</f>
        <v>45292</v>
      </c>
      <c r="F5" s="152">
        <f>YEAR(E5)</f>
        <v>2024</v>
      </c>
      <c r="G5" s="153">
        <f>G$4</f>
        <v>2025</v>
      </c>
      <c r="H5" s="153">
        <f>G5-F5</f>
        <v>1</v>
      </c>
      <c r="I5" s="153">
        <f>I$4</f>
        <v>2033</v>
      </c>
      <c r="J5" s="153">
        <f>I5-F5</f>
        <v>9</v>
      </c>
      <c r="K5" s="153">
        <f t="shared" ref="K5:K26" si="0">(H5+J5)/2</f>
        <v>5</v>
      </c>
      <c r="L5" s="157">
        <f>IF(AND(K5&gt;0,K5&lt;3),L$135,0)</f>
        <v>0</v>
      </c>
      <c r="M5" s="157">
        <f>IF(AND(K5&gt;2,K5&lt;7),M$135,0)</f>
        <v>70.180000000000007</v>
      </c>
      <c r="N5" s="157">
        <f>IF(AND(K5&gt;6,K5&lt;11),N$135,0)</f>
        <v>0</v>
      </c>
      <c r="O5" s="157">
        <f>IF(AND(K5&gt;10,K5&lt;15),O$135,0)</f>
        <v>0</v>
      </c>
      <c r="P5" s="157">
        <f>IF(AND(K5&gt;14,K5&lt;19),P$135,0)</f>
        <v>0</v>
      </c>
      <c r="Q5" s="157">
        <f>IF(AND(K5&gt;18,K5&lt;21),Q$135,0)</f>
        <v>0</v>
      </c>
      <c r="R5" s="157">
        <f>IF(AND(K5&gt;20,K5&lt;23),R$135,0)</f>
        <v>0</v>
      </c>
      <c r="S5" s="157">
        <f>IF(AND(K5&gt;22,K5&lt;25),S$135,0)</f>
        <v>0</v>
      </c>
      <c r="T5" s="157">
        <f>IF(AND(K5&gt;24,K5&lt;27),T$135,0)</f>
        <v>0</v>
      </c>
      <c r="U5" s="157">
        <f>IF(K5&gt;26,U$135,0)</f>
        <v>0</v>
      </c>
      <c r="V5" s="157">
        <f>IF(A5&gt;0,(SUM(L5:U5)),0)</f>
        <v>0</v>
      </c>
    </row>
    <row r="6" spans="1:22">
      <c r="A6" s="47">
        <v>0</v>
      </c>
      <c r="B6" s="51" t="str">
        <f>'A.1_Tabla Costes Subrogación'!B6</f>
        <v xml:space="preserve"> PEÓN  </v>
      </c>
      <c r="C6" s="51"/>
      <c r="D6" s="51"/>
      <c r="E6" s="151">
        <f>'A.1_Tabla Costes Subrogación'!E6</f>
        <v>45292</v>
      </c>
      <c r="F6" s="152">
        <f>YEAR(E6)</f>
        <v>2024</v>
      </c>
      <c r="G6" s="153">
        <f>G$4</f>
        <v>2025</v>
      </c>
      <c r="H6" s="153">
        <f>G6-F6</f>
        <v>1</v>
      </c>
      <c r="I6" s="153">
        <f>I$4</f>
        <v>2033</v>
      </c>
      <c r="J6" s="153">
        <f>I6-F6</f>
        <v>9</v>
      </c>
      <c r="K6" s="153">
        <f>(H6+J6)/2</f>
        <v>5</v>
      </c>
      <c r="L6" s="157">
        <f>IF(AND(K6&gt;0,K6&lt;3),L$135,0)</f>
        <v>0</v>
      </c>
      <c r="M6" s="157">
        <f>IF(AND(K6&gt;2,K6&lt;7),M$135,0)</f>
        <v>70.180000000000007</v>
      </c>
      <c r="N6" s="157">
        <f>IF(AND(K6&gt;6,K6&lt;11),N$135,0)</f>
        <v>0</v>
      </c>
      <c r="O6" s="157">
        <f>IF(AND(K6&gt;10,K6&lt;15),O$135,0)</f>
        <v>0</v>
      </c>
      <c r="P6" s="157">
        <f>IF(AND(K6&gt;14,K6&lt;19),P$135,0)</f>
        <v>0</v>
      </c>
      <c r="Q6" s="157">
        <f>IF(AND(K6&gt;18,K6&lt;21),Q$135,0)</f>
        <v>0</v>
      </c>
      <c r="R6" s="157">
        <f>IF(AND(K6&gt;20,K6&lt;23),R$135,0)</f>
        <v>0</v>
      </c>
      <c r="S6" s="157">
        <f>IF(AND(K6&gt;22,K6&lt;25),S$135,0)</f>
        <v>0</v>
      </c>
      <c r="T6" s="157">
        <f>IF(AND(K6&gt;24,K6&lt;27),T$135,0)</f>
        <v>0</v>
      </c>
      <c r="U6" s="157">
        <f>IF(K6&gt;26,U$135,0)</f>
        <v>0</v>
      </c>
      <c r="V6" s="157">
        <f>IF(A6&gt;0,(SUM(L6:U6)),0)</f>
        <v>0</v>
      </c>
    </row>
    <row r="7" spans="1:22">
      <c r="A7" s="47">
        <f>'A.1_Tabla Costes Subrogación'!A7</f>
        <v>0</v>
      </c>
      <c r="B7" s="51" t="str">
        <f>'A.1_Tabla Costes Subrogación'!B7</f>
        <v xml:space="preserve"> PEÓN  </v>
      </c>
      <c r="C7" s="51"/>
      <c r="D7" s="51"/>
      <c r="E7" s="151">
        <f>'A.1_Tabla Costes Subrogación'!E7</f>
        <v>45293</v>
      </c>
      <c r="F7" s="152">
        <f>YEAR(E7)</f>
        <v>2024</v>
      </c>
      <c r="G7" s="153">
        <f>G$4</f>
        <v>2025</v>
      </c>
      <c r="H7" s="153">
        <f>G7-F7</f>
        <v>1</v>
      </c>
      <c r="I7" s="153">
        <f>I$4</f>
        <v>2033</v>
      </c>
      <c r="J7" s="153">
        <f>I7-F7</f>
        <v>9</v>
      </c>
      <c r="K7" s="153">
        <f>(H7+J7)/2</f>
        <v>5</v>
      </c>
      <c r="L7" s="157">
        <f>IF(AND(K7&gt;0,K7&lt;3),L$135,0)</f>
        <v>0</v>
      </c>
      <c r="M7" s="157">
        <f>IF(AND(K7&gt;2,K7&lt;7),M$135,0)</f>
        <v>70.180000000000007</v>
      </c>
      <c r="N7" s="157">
        <f>IF(AND(K7&gt;6,K7&lt;11),N$135,0)</f>
        <v>0</v>
      </c>
      <c r="O7" s="157">
        <f>IF(AND(K7&gt;10,K7&lt;15),O$135,0)</f>
        <v>0</v>
      </c>
      <c r="P7" s="157">
        <f>IF(AND(K7&gt;14,K7&lt;19),P$135,0)</f>
        <v>0</v>
      </c>
      <c r="Q7" s="157">
        <f>IF(AND(K7&gt;18,K7&lt;21),Q$135,0)</f>
        <v>0</v>
      </c>
      <c r="R7" s="157">
        <f>IF(AND(K7&gt;20,K7&lt;23),R$135,0)</f>
        <v>0</v>
      </c>
      <c r="S7" s="157">
        <f>IF(AND(K7&gt;22,K7&lt;25),S$135,0)</f>
        <v>0</v>
      </c>
      <c r="T7" s="157">
        <f>IF(AND(K7&gt;24,K7&lt;27),T$135,0)</f>
        <v>0</v>
      </c>
      <c r="U7" s="157">
        <f>IF(K7&gt;26,U$135,0)</f>
        <v>0</v>
      </c>
      <c r="V7" s="157">
        <f>IF(A7&gt;0,(SUM(L7:U7)),0)</f>
        <v>0</v>
      </c>
    </row>
    <row r="8" spans="1:22">
      <c r="A8" s="154"/>
      <c r="B8" s="154"/>
      <c r="C8" s="154"/>
      <c r="D8" s="154"/>
      <c r="E8" s="154"/>
      <c r="F8" s="154"/>
      <c r="G8" s="154"/>
      <c r="H8" s="154"/>
      <c r="I8" s="154"/>
      <c r="J8" s="154"/>
      <c r="K8" s="154"/>
      <c r="L8" s="154"/>
      <c r="M8" s="154"/>
      <c r="N8" s="154"/>
      <c r="O8" s="154"/>
      <c r="P8" s="154"/>
      <c r="Q8" s="154"/>
      <c r="R8" s="154"/>
      <c r="S8" s="154"/>
      <c r="T8" s="154"/>
      <c r="U8" s="154"/>
      <c r="V8" s="154"/>
    </row>
    <row r="9" spans="1:22">
      <c r="A9" s="47">
        <f>'A.1_Tabla Costes Subrogación'!A9</f>
        <v>1</v>
      </c>
      <c r="B9" s="51" t="str">
        <f>'A.1_Tabla Costes Subrogación'!B9</f>
        <v xml:space="preserve"> AUXILIAR JARD.  </v>
      </c>
      <c r="C9" s="51"/>
      <c r="D9" s="51"/>
      <c r="E9" s="151">
        <f>'A.1_Tabla Costes Subrogación'!E9</f>
        <v>38932</v>
      </c>
      <c r="F9" s="152">
        <f t="shared" ref="F9:F26" si="1">YEAR(E9)</f>
        <v>2006</v>
      </c>
      <c r="G9" s="153">
        <f t="shared" ref="G9:I27" si="2">G$4</f>
        <v>2025</v>
      </c>
      <c r="H9" s="153">
        <f t="shared" ref="H9:H26" si="3">G9-F9</f>
        <v>19</v>
      </c>
      <c r="I9" s="153">
        <f t="shared" si="2"/>
        <v>2033</v>
      </c>
      <c r="J9" s="153">
        <f t="shared" ref="J9:J26" si="4">I9-F9</f>
        <v>27</v>
      </c>
      <c r="K9" s="153">
        <f t="shared" si="0"/>
        <v>23</v>
      </c>
      <c r="L9" s="157">
        <f t="shared" ref="L9:L40" si="5">IF(AND(K9&gt;0,K9&lt;3),L$135,0)</f>
        <v>0</v>
      </c>
      <c r="M9" s="157">
        <f t="shared" ref="M9:M40" si="6">IF(AND(K9&gt;2,K9&lt;7),M$135,0)</f>
        <v>0</v>
      </c>
      <c r="N9" s="157">
        <f t="shared" ref="N9:N40" si="7">IF(AND(K9&gt;6,K9&lt;11),N$135,0)</f>
        <v>0</v>
      </c>
      <c r="O9" s="157">
        <f t="shared" ref="O9:O40" si="8">IF(AND(K9&gt;10,K9&lt;15),O$135,0)</f>
        <v>0</v>
      </c>
      <c r="P9" s="157">
        <f t="shared" ref="P9:P40" si="9">IF(AND(K9&gt;14,K9&lt;19),P$135,0)</f>
        <v>0</v>
      </c>
      <c r="Q9" s="157">
        <f t="shared" ref="Q9:Q40" si="10">IF(AND(K9&gt;18,K9&lt;21),Q$135,0)</f>
        <v>0</v>
      </c>
      <c r="R9" s="157">
        <f t="shared" ref="R9:R40" si="11">IF(AND(K9&gt;20,K9&lt;23),R$135,0)</f>
        <v>0</v>
      </c>
      <c r="S9" s="157">
        <f t="shared" ref="S9:S40" si="12">IF(AND(K9&gt;22,K9&lt;25),S$135,0)</f>
        <v>343.31</v>
      </c>
      <c r="T9" s="157">
        <f t="shared" ref="T9:T40" si="13">IF(AND(K9&gt;24,K9&lt;27),T$135,0)</f>
        <v>0</v>
      </c>
      <c r="U9" s="157">
        <f t="shared" ref="U9:U40" si="14">IF(K9&gt;26,U$135,0)</f>
        <v>0</v>
      </c>
      <c r="V9" s="157">
        <f t="shared" ref="V9:V64" si="15">IF(A9&gt;0,(SUM(L9:U9)),0)</f>
        <v>343.31</v>
      </c>
    </row>
    <row r="10" spans="1:22">
      <c r="A10" s="47">
        <f>'A.1_Tabla Costes Subrogación'!A10</f>
        <v>1</v>
      </c>
      <c r="B10" s="51" t="str">
        <f>'A.1_Tabla Costes Subrogación'!B10</f>
        <v xml:space="preserve"> AUXILIAR JARD.  </v>
      </c>
      <c r="C10" s="51"/>
      <c r="D10" s="51"/>
      <c r="E10" s="151">
        <f>'A.1_Tabla Costes Subrogación'!E10</f>
        <v>38749</v>
      </c>
      <c r="F10" s="152">
        <f t="shared" si="1"/>
        <v>2006</v>
      </c>
      <c r="G10" s="153">
        <f t="shared" si="2"/>
        <v>2025</v>
      </c>
      <c r="H10" s="153">
        <f t="shared" si="3"/>
        <v>19</v>
      </c>
      <c r="I10" s="153">
        <f t="shared" si="2"/>
        <v>2033</v>
      </c>
      <c r="J10" s="153">
        <f t="shared" si="4"/>
        <v>27</v>
      </c>
      <c r="K10" s="153">
        <f t="shared" si="0"/>
        <v>23</v>
      </c>
      <c r="L10" s="157">
        <f t="shared" si="5"/>
        <v>0</v>
      </c>
      <c r="M10" s="157">
        <f t="shared" si="6"/>
        <v>0</v>
      </c>
      <c r="N10" s="157">
        <f t="shared" si="7"/>
        <v>0</v>
      </c>
      <c r="O10" s="157">
        <f t="shared" si="8"/>
        <v>0</v>
      </c>
      <c r="P10" s="157">
        <f t="shared" si="9"/>
        <v>0</v>
      </c>
      <c r="Q10" s="157">
        <f t="shared" si="10"/>
        <v>0</v>
      </c>
      <c r="R10" s="157">
        <f t="shared" si="11"/>
        <v>0</v>
      </c>
      <c r="S10" s="157">
        <f t="shared" si="12"/>
        <v>343.31</v>
      </c>
      <c r="T10" s="157">
        <f t="shared" si="13"/>
        <v>0</v>
      </c>
      <c r="U10" s="157">
        <f t="shared" si="14"/>
        <v>0</v>
      </c>
      <c r="V10" s="157">
        <f t="shared" si="15"/>
        <v>343.31</v>
      </c>
    </row>
    <row r="11" spans="1:22">
      <c r="A11" s="47">
        <f>'A.1_Tabla Costes Subrogación'!A11</f>
        <v>1</v>
      </c>
      <c r="B11" s="51" t="str">
        <f>'A.1_Tabla Costes Subrogación'!B11</f>
        <v xml:space="preserve"> AUXILIAR JARD.  </v>
      </c>
      <c r="C11" s="51"/>
      <c r="D11" s="51"/>
      <c r="E11" s="151">
        <f>'A.1_Tabla Costes Subrogación'!E11</f>
        <v>38749</v>
      </c>
      <c r="F11" s="152">
        <f t="shared" si="1"/>
        <v>2006</v>
      </c>
      <c r="G11" s="153">
        <f t="shared" si="2"/>
        <v>2025</v>
      </c>
      <c r="H11" s="153">
        <f t="shared" si="3"/>
        <v>19</v>
      </c>
      <c r="I11" s="153">
        <f t="shared" si="2"/>
        <v>2033</v>
      </c>
      <c r="J11" s="153">
        <f t="shared" si="4"/>
        <v>27</v>
      </c>
      <c r="K11" s="153">
        <f t="shared" si="0"/>
        <v>23</v>
      </c>
      <c r="L11" s="157">
        <f t="shared" si="5"/>
        <v>0</v>
      </c>
      <c r="M11" s="157">
        <f t="shared" si="6"/>
        <v>0</v>
      </c>
      <c r="N11" s="157">
        <f t="shared" si="7"/>
        <v>0</v>
      </c>
      <c r="O11" s="157">
        <f t="shared" si="8"/>
        <v>0</v>
      </c>
      <c r="P11" s="157">
        <f t="shared" si="9"/>
        <v>0</v>
      </c>
      <c r="Q11" s="157">
        <f t="shared" si="10"/>
        <v>0</v>
      </c>
      <c r="R11" s="157">
        <f t="shared" si="11"/>
        <v>0</v>
      </c>
      <c r="S11" s="157">
        <f t="shared" si="12"/>
        <v>343.31</v>
      </c>
      <c r="T11" s="157">
        <f t="shared" si="13"/>
        <v>0</v>
      </c>
      <c r="U11" s="157">
        <f t="shared" si="14"/>
        <v>0</v>
      </c>
      <c r="V11" s="157">
        <f t="shared" si="15"/>
        <v>343.31</v>
      </c>
    </row>
    <row r="12" spans="1:22">
      <c r="A12" s="47">
        <f>'A.1_Tabla Costes Subrogación'!A12</f>
        <v>1</v>
      </c>
      <c r="B12" s="51" t="str">
        <f>'A.1_Tabla Costes Subrogación'!B12</f>
        <v xml:space="preserve"> AUXILIAR JARD.  </v>
      </c>
      <c r="C12" s="51"/>
      <c r="D12" s="51"/>
      <c r="E12" s="151">
        <f>'A.1_Tabla Costes Subrogación'!E12</f>
        <v>38932</v>
      </c>
      <c r="F12" s="152">
        <f t="shared" si="1"/>
        <v>2006</v>
      </c>
      <c r="G12" s="153">
        <f t="shared" si="2"/>
        <v>2025</v>
      </c>
      <c r="H12" s="153">
        <f t="shared" si="3"/>
        <v>19</v>
      </c>
      <c r="I12" s="153">
        <f t="shared" si="2"/>
        <v>2033</v>
      </c>
      <c r="J12" s="153">
        <f t="shared" si="4"/>
        <v>27</v>
      </c>
      <c r="K12" s="153">
        <f t="shared" si="0"/>
        <v>23</v>
      </c>
      <c r="L12" s="157">
        <f t="shared" si="5"/>
        <v>0</v>
      </c>
      <c r="M12" s="157">
        <f t="shared" si="6"/>
        <v>0</v>
      </c>
      <c r="N12" s="157">
        <f t="shared" si="7"/>
        <v>0</v>
      </c>
      <c r="O12" s="157">
        <f t="shared" si="8"/>
        <v>0</v>
      </c>
      <c r="P12" s="157">
        <f t="shared" si="9"/>
        <v>0</v>
      </c>
      <c r="Q12" s="157">
        <f t="shared" si="10"/>
        <v>0</v>
      </c>
      <c r="R12" s="157">
        <f t="shared" si="11"/>
        <v>0</v>
      </c>
      <c r="S12" s="157">
        <f t="shared" si="12"/>
        <v>343.31</v>
      </c>
      <c r="T12" s="157">
        <f t="shared" si="13"/>
        <v>0</v>
      </c>
      <c r="U12" s="157">
        <f t="shared" si="14"/>
        <v>0</v>
      </c>
      <c r="V12" s="157">
        <f t="shared" si="15"/>
        <v>343.31</v>
      </c>
    </row>
    <row r="13" spans="1:22">
      <c r="A13" s="47">
        <f>'A.1_Tabla Costes Subrogación'!A13</f>
        <v>1</v>
      </c>
      <c r="B13" s="51" t="str">
        <f>'A.1_Tabla Costes Subrogación'!B13</f>
        <v xml:space="preserve"> AUXILIAR JARD.  </v>
      </c>
      <c r="C13" s="51"/>
      <c r="D13" s="51"/>
      <c r="E13" s="151">
        <f>'A.1_Tabla Costes Subrogación'!E13</f>
        <v>42036</v>
      </c>
      <c r="F13" s="152">
        <f t="shared" si="1"/>
        <v>2015</v>
      </c>
      <c r="G13" s="153">
        <f t="shared" si="2"/>
        <v>2025</v>
      </c>
      <c r="H13" s="153">
        <f t="shared" si="3"/>
        <v>10</v>
      </c>
      <c r="I13" s="153">
        <f t="shared" si="2"/>
        <v>2033</v>
      </c>
      <c r="J13" s="153">
        <f t="shared" si="4"/>
        <v>18</v>
      </c>
      <c r="K13" s="153">
        <f t="shared" si="0"/>
        <v>14</v>
      </c>
      <c r="L13" s="157">
        <f t="shared" si="5"/>
        <v>0</v>
      </c>
      <c r="M13" s="157">
        <f t="shared" si="6"/>
        <v>0</v>
      </c>
      <c r="N13" s="157">
        <f t="shared" si="7"/>
        <v>0</v>
      </c>
      <c r="O13" s="157">
        <f t="shared" si="8"/>
        <v>175.53</v>
      </c>
      <c r="P13" s="157">
        <f t="shared" si="9"/>
        <v>0</v>
      </c>
      <c r="Q13" s="157">
        <f t="shared" si="10"/>
        <v>0</v>
      </c>
      <c r="R13" s="157">
        <f t="shared" si="11"/>
        <v>0</v>
      </c>
      <c r="S13" s="157">
        <f t="shared" si="12"/>
        <v>0</v>
      </c>
      <c r="T13" s="157">
        <f t="shared" si="13"/>
        <v>0</v>
      </c>
      <c r="U13" s="157">
        <f t="shared" si="14"/>
        <v>0</v>
      </c>
      <c r="V13" s="157">
        <f t="shared" si="15"/>
        <v>175.53</v>
      </c>
    </row>
    <row r="14" spans="1:22">
      <c r="A14" s="47">
        <f>'A.1_Tabla Costes Subrogación'!A14</f>
        <v>1</v>
      </c>
      <c r="B14" s="51" t="str">
        <f>'A.1_Tabla Costes Subrogación'!B14</f>
        <v xml:space="preserve"> AUXILIAR JARD.  </v>
      </c>
      <c r="C14" s="51"/>
      <c r="D14" s="51"/>
      <c r="E14" s="151">
        <f>'A.1_Tabla Costes Subrogación'!E14</f>
        <v>38749</v>
      </c>
      <c r="F14" s="152">
        <f t="shared" si="1"/>
        <v>2006</v>
      </c>
      <c r="G14" s="153">
        <f t="shared" si="2"/>
        <v>2025</v>
      </c>
      <c r="H14" s="153">
        <f t="shared" si="3"/>
        <v>19</v>
      </c>
      <c r="I14" s="153">
        <f t="shared" si="2"/>
        <v>2033</v>
      </c>
      <c r="J14" s="153">
        <f t="shared" si="4"/>
        <v>27</v>
      </c>
      <c r="K14" s="153">
        <f t="shared" si="0"/>
        <v>23</v>
      </c>
      <c r="L14" s="157">
        <f t="shared" si="5"/>
        <v>0</v>
      </c>
      <c r="M14" s="157">
        <f t="shared" si="6"/>
        <v>0</v>
      </c>
      <c r="N14" s="157">
        <f t="shared" si="7"/>
        <v>0</v>
      </c>
      <c r="O14" s="157">
        <f t="shared" si="8"/>
        <v>0</v>
      </c>
      <c r="P14" s="157">
        <f t="shared" si="9"/>
        <v>0</v>
      </c>
      <c r="Q14" s="157">
        <f t="shared" si="10"/>
        <v>0</v>
      </c>
      <c r="R14" s="157">
        <f t="shared" si="11"/>
        <v>0</v>
      </c>
      <c r="S14" s="157">
        <f t="shared" si="12"/>
        <v>343.31</v>
      </c>
      <c r="T14" s="157">
        <f t="shared" si="13"/>
        <v>0</v>
      </c>
      <c r="U14" s="157">
        <f t="shared" si="14"/>
        <v>0</v>
      </c>
      <c r="V14" s="157">
        <f t="shared" si="15"/>
        <v>343.31</v>
      </c>
    </row>
    <row r="15" spans="1:22">
      <c r="A15" s="47">
        <f>'A.1_Tabla Costes Subrogación'!A15</f>
        <v>1</v>
      </c>
      <c r="B15" s="51" t="str">
        <f>'A.1_Tabla Costes Subrogación'!B15</f>
        <v xml:space="preserve"> AUXILIAR JARD.  </v>
      </c>
      <c r="C15" s="51"/>
      <c r="D15" s="51"/>
      <c r="E15" s="151">
        <f>'A.1_Tabla Costes Subrogación'!E15</f>
        <v>40250</v>
      </c>
      <c r="F15" s="152">
        <f t="shared" si="1"/>
        <v>2010</v>
      </c>
      <c r="G15" s="153">
        <f t="shared" si="2"/>
        <v>2025</v>
      </c>
      <c r="H15" s="153">
        <f t="shared" si="3"/>
        <v>15</v>
      </c>
      <c r="I15" s="153">
        <f t="shared" si="2"/>
        <v>2033</v>
      </c>
      <c r="J15" s="153">
        <f t="shared" si="4"/>
        <v>23</v>
      </c>
      <c r="K15" s="153">
        <f t="shared" si="0"/>
        <v>19</v>
      </c>
      <c r="L15" s="157">
        <f t="shared" si="5"/>
        <v>0</v>
      </c>
      <c r="M15" s="157">
        <f t="shared" si="6"/>
        <v>0</v>
      </c>
      <c r="N15" s="157">
        <f t="shared" si="7"/>
        <v>0</v>
      </c>
      <c r="O15" s="157">
        <f t="shared" si="8"/>
        <v>0</v>
      </c>
      <c r="P15" s="157">
        <f t="shared" si="9"/>
        <v>0</v>
      </c>
      <c r="Q15" s="157">
        <f t="shared" si="10"/>
        <v>264.41000000000003</v>
      </c>
      <c r="R15" s="157">
        <f t="shared" si="11"/>
        <v>0</v>
      </c>
      <c r="S15" s="157">
        <f t="shared" si="12"/>
        <v>0</v>
      </c>
      <c r="T15" s="157">
        <f t="shared" si="13"/>
        <v>0</v>
      </c>
      <c r="U15" s="157">
        <f t="shared" si="14"/>
        <v>0</v>
      </c>
      <c r="V15" s="157">
        <f t="shared" si="15"/>
        <v>264.41000000000003</v>
      </c>
    </row>
    <row r="16" spans="1:22">
      <c r="A16" s="47">
        <f>'A.1_Tabla Costes Subrogación'!A16</f>
        <v>1</v>
      </c>
      <c r="B16" s="51" t="str">
        <f>'A.1_Tabla Costes Subrogación'!B16</f>
        <v xml:space="preserve"> AUXILIAR JARD.  </v>
      </c>
      <c r="C16" s="51"/>
      <c r="D16" s="51"/>
      <c r="E16" s="151">
        <f>'A.1_Tabla Costes Subrogación'!E16</f>
        <v>39038</v>
      </c>
      <c r="F16" s="152">
        <f t="shared" si="1"/>
        <v>2006</v>
      </c>
      <c r="G16" s="153">
        <f t="shared" si="2"/>
        <v>2025</v>
      </c>
      <c r="H16" s="153">
        <f t="shared" si="3"/>
        <v>19</v>
      </c>
      <c r="I16" s="153">
        <f t="shared" si="2"/>
        <v>2033</v>
      </c>
      <c r="J16" s="153">
        <f t="shared" si="4"/>
        <v>27</v>
      </c>
      <c r="K16" s="153">
        <f t="shared" si="0"/>
        <v>23</v>
      </c>
      <c r="L16" s="157">
        <f t="shared" si="5"/>
        <v>0</v>
      </c>
      <c r="M16" s="157">
        <f t="shared" si="6"/>
        <v>0</v>
      </c>
      <c r="N16" s="157">
        <f t="shared" si="7"/>
        <v>0</v>
      </c>
      <c r="O16" s="157">
        <f t="shared" si="8"/>
        <v>0</v>
      </c>
      <c r="P16" s="157">
        <f t="shared" si="9"/>
        <v>0</v>
      </c>
      <c r="Q16" s="157">
        <f t="shared" si="10"/>
        <v>0</v>
      </c>
      <c r="R16" s="157">
        <f t="shared" si="11"/>
        <v>0</v>
      </c>
      <c r="S16" s="157">
        <f t="shared" si="12"/>
        <v>343.31</v>
      </c>
      <c r="T16" s="157">
        <f t="shared" si="13"/>
        <v>0</v>
      </c>
      <c r="U16" s="157">
        <f t="shared" si="14"/>
        <v>0</v>
      </c>
      <c r="V16" s="157">
        <f t="shared" si="15"/>
        <v>343.31</v>
      </c>
    </row>
    <row r="17" spans="1:22">
      <c r="A17" s="47">
        <f>'A.1_Tabla Costes Subrogación'!A17</f>
        <v>1</v>
      </c>
      <c r="B17" s="51" t="str">
        <f>'A.1_Tabla Costes Subrogación'!B17</f>
        <v xml:space="preserve"> AUXILIAR JARD.  </v>
      </c>
      <c r="C17" s="51"/>
      <c r="D17" s="51"/>
      <c r="E17" s="151">
        <f>'A.1_Tabla Costes Subrogación'!E17</f>
        <v>39663</v>
      </c>
      <c r="F17" s="152">
        <f t="shared" si="1"/>
        <v>2008</v>
      </c>
      <c r="G17" s="153">
        <f t="shared" si="2"/>
        <v>2025</v>
      </c>
      <c r="H17" s="153">
        <f t="shared" si="3"/>
        <v>17</v>
      </c>
      <c r="I17" s="153">
        <f t="shared" si="2"/>
        <v>2033</v>
      </c>
      <c r="J17" s="153">
        <f t="shared" si="4"/>
        <v>25</v>
      </c>
      <c r="K17" s="153">
        <f t="shared" si="0"/>
        <v>21</v>
      </c>
      <c r="L17" s="157">
        <f t="shared" si="5"/>
        <v>0</v>
      </c>
      <c r="M17" s="157">
        <f t="shared" si="6"/>
        <v>0</v>
      </c>
      <c r="N17" s="157">
        <f t="shared" si="7"/>
        <v>0</v>
      </c>
      <c r="O17" s="157">
        <f t="shared" si="8"/>
        <v>0</v>
      </c>
      <c r="P17" s="157">
        <f t="shared" si="9"/>
        <v>0</v>
      </c>
      <c r="Q17" s="157">
        <f t="shared" si="10"/>
        <v>0</v>
      </c>
      <c r="R17" s="157">
        <f t="shared" si="11"/>
        <v>280.79000000000002</v>
      </c>
      <c r="S17" s="157">
        <f t="shared" si="12"/>
        <v>0</v>
      </c>
      <c r="T17" s="157">
        <f t="shared" si="13"/>
        <v>0</v>
      </c>
      <c r="U17" s="157">
        <f t="shared" si="14"/>
        <v>0</v>
      </c>
      <c r="V17" s="157">
        <f t="shared" si="15"/>
        <v>280.79000000000002</v>
      </c>
    </row>
    <row r="18" spans="1:22">
      <c r="A18" s="47">
        <f>'A.1_Tabla Costes Subrogación'!A18</f>
        <v>1</v>
      </c>
      <c r="B18" s="51" t="str">
        <f>'A.1_Tabla Costes Subrogación'!B18</f>
        <v xml:space="preserve"> AUXILIAR JARD.  </v>
      </c>
      <c r="C18" s="51"/>
      <c r="D18" s="51"/>
      <c r="E18" s="151">
        <f>'A.1_Tabla Costes Subrogación'!E18</f>
        <v>39650</v>
      </c>
      <c r="F18" s="152">
        <f t="shared" si="1"/>
        <v>2008</v>
      </c>
      <c r="G18" s="153">
        <f t="shared" si="2"/>
        <v>2025</v>
      </c>
      <c r="H18" s="153">
        <f t="shared" si="3"/>
        <v>17</v>
      </c>
      <c r="I18" s="153">
        <f t="shared" si="2"/>
        <v>2033</v>
      </c>
      <c r="J18" s="153">
        <f t="shared" si="4"/>
        <v>25</v>
      </c>
      <c r="K18" s="153">
        <f t="shared" si="0"/>
        <v>21</v>
      </c>
      <c r="L18" s="157">
        <f t="shared" si="5"/>
        <v>0</v>
      </c>
      <c r="M18" s="157">
        <f t="shared" si="6"/>
        <v>0</v>
      </c>
      <c r="N18" s="157">
        <f t="shared" si="7"/>
        <v>0</v>
      </c>
      <c r="O18" s="157">
        <f t="shared" si="8"/>
        <v>0</v>
      </c>
      <c r="P18" s="157">
        <f t="shared" si="9"/>
        <v>0</v>
      </c>
      <c r="Q18" s="157">
        <f t="shared" si="10"/>
        <v>0</v>
      </c>
      <c r="R18" s="157">
        <f t="shared" si="11"/>
        <v>280.79000000000002</v>
      </c>
      <c r="S18" s="157">
        <f t="shared" si="12"/>
        <v>0</v>
      </c>
      <c r="T18" s="157">
        <f t="shared" si="13"/>
        <v>0</v>
      </c>
      <c r="U18" s="157">
        <f t="shared" si="14"/>
        <v>0</v>
      </c>
      <c r="V18" s="157">
        <f t="shared" si="15"/>
        <v>280.79000000000002</v>
      </c>
    </row>
    <row r="19" spans="1:22">
      <c r="A19" s="47">
        <f>'A.1_Tabla Costes Subrogación'!A19</f>
        <v>1</v>
      </c>
      <c r="B19" s="51" t="str">
        <f>'A.1_Tabla Costes Subrogación'!B19</f>
        <v xml:space="preserve"> AUXILIAR JARD.  </v>
      </c>
      <c r="C19" s="51"/>
      <c r="D19" s="51"/>
      <c r="E19" s="151">
        <f>'A.1_Tabla Costes Subrogación'!E19</f>
        <v>38749</v>
      </c>
      <c r="F19" s="152">
        <f t="shared" si="1"/>
        <v>2006</v>
      </c>
      <c r="G19" s="153">
        <f t="shared" si="2"/>
        <v>2025</v>
      </c>
      <c r="H19" s="153">
        <f t="shared" si="3"/>
        <v>19</v>
      </c>
      <c r="I19" s="153">
        <f t="shared" si="2"/>
        <v>2033</v>
      </c>
      <c r="J19" s="153">
        <f t="shared" si="4"/>
        <v>27</v>
      </c>
      <c r="K19" s="153">
        <f t="shared" si="0"/>
        <v>23</v>
      </c>
      <c r="L19" s="157">
        <f t="shared" si="5"/>
        <v>0</v>
      </c>
      <c r="M19" s="157">
        <f t="shared" si="6"/>
        <v>0</v>
      </c>
      <c r="N19" s="157">
        <f t="shared" si="7"/>
        <v>0</v>
      </c>
      <c r="O19" s="157">
        <f t="shared" si="8"/>
        <v>0</v>
      </c>
      <c r="P19" s="157">
        <f t="shared" si="9"/>
        <v>0</v>
      </c>
      <c r="Q19" s="157">
        <f t="shared" si="10"/>
        <v>0</v>
      </c>
      <c r="R19" s="157">
        <f t="shared" si="11"/>
        <v>0</v>
      </c>
      <c r="S19" s="157">
        <f t="shared" si="12"/>
        <v>343.31</v>
      </c>
      <c r="T19" s="157">
        <f t="shared" si="13"/>
        <v>0</v>
      </c>
      <c r="U19" s="157">
        <f t="shared" si="14"/>
        <v>0</v>
      </c>
      <c r="V19" s="157">
        <f t="shared" si="15"/>
        <v>343.31</v>
      </c>
    </row>
    <row r="20" spans="1:22">
      <c r="A20" s="47">
        <f>'A.1_Tabla Costes Subrogación'!A20</f>
        <v>1</v>
      </c>
      <c r="B20" s="51" t="str">
        <f>'A.1_Tabla Costes Subrogación'!B20</f>
        <v xml:space="preserve"> AUXILIAR JARD.  </v>
      </c>
      <c r="C20" s="51"/>
      <c r="D20" s="51"/>
      <c r="E20" s="151">
        <f>'A.1_Tabla Costes Subrogación'!E20</f>
        <v>38749</v>
      </c>
      <c r="F20" s="152">
        <f t="shared" si="1"/>
        <v>2006</v>
      </c>
      <c r="G20" s="153">
        <f t="shared" si="2"/>
        <v>2025</v>
      </c>
      <c r="H20" s="153">
        <f t="shared" si="3"/>
        <v>19</v>
      </c>
      <c r="I20" s="153">
        <f t="shared" si="2"/>
        <v>2033</v>
      </c>
      <c r="J20" s="153">
        <f t="shared" si="4"/>
        <v>27</v>
      </c>
      <c r="K20" s="153">
        <f t="shared" si="0"/>
        <v>23</v>
      </c>
      <c r="L20" s="157">
        <f t="shared" si="5"/>
        <v>0</v>
      </c>
      <c r="M20" s="157">
        <f t="shared" si="6"/>
        <v>0</v>
      </c>
      <c r="N20" s="157">
        <f t="shared" si="7"/>
        <v>0</v>
      </c>
      <c r="O20" s="157">
        <f t="shared" si="8"/>
        <v>0</v>
      </c>
      <c r="P20" s="157">
        <f t="shared" si="9"/>
        <v>0</v>
      </c>
      <c r="Q20" s="157">
        <f t="shared" si="10"/>
        <v>0</v>
      </c>
      <c r="R20" s="157">
        <f t="shared" si="11"/>
        <v>0</v>
      </c>
      <c r="S20" s="157">
        <f t="shared" si="12"/>
        <v>343.31</v>
      </c>
      <c r="T20" s="157">
        <f t="shared" si="13"/>
        <v>0</v>
      </c>
      <c r="U20" s="157">
        <f t="shared" si="14"/>
        <v>0</v>
      </c>
      <c r="V20" s="157">
        <f t="shared" si="15"/>
        <v>343.31</v>
      </c>
    </row>
    <row r="21" spans="1:22">
      <c r="A21" s="47">
        <f>'A.1_Tabla Costes Subrogación'!A21</f>
        <v>1</v>
      </c>
      <c r="B21" s="51" t="str">
        <f>'A.1_Tabla Costes Subrogación'!B21</f>
        <v xml:space="preserve"> AUXILIAR JARD.  </v>
      </c>
      <c r="C21" s="51"/>
      <c r="D21" s="51"/>
      <c r="E21" s="151">
        <f>'A.1_Tabla Costes Subrogación'!E21</f>
        <v>40196</v>
      </c>
      <c r="F21" s="152">
        <f t="shared" si="1"/>
        <v>2010</v>
      </c>
      <c r="G21" s="153">
        <f t="shared" si="2"/>
        <v>2025</v>
      </c>
      <c r="H21" s="153">
        <f t="shared" si="3"/>
        <v>15</v>
      </c>
      <c r="I21" s="153">
        <f t="shared" si="2"/>
        <v>2033</v>
      </c>
      <c r="J21" s="153">
        <f t="shared" si="4"/>
        <v>23</v>
      </c>
      <c r="K21" s="153">
        <f t="shared" si="0"/>
        <v>19</v>
      </c>
      <c r="L21" s="157">
        <f t="shared" si="5"/>
        <v>0</v>
      </c>
      <c r="M21" s="157">
        <f t="shared" si="6"/>
        <v>0</v>
      </c>
      <c r="N21" s="157">
        <f t="shared" si="7"/>
        <v>0</v>
      </c>
      <c r="O21" s="157">
        <f t="shared" si="8"/>
        <v>0</v>
      </c>
      <c r="P21" s="157">
        <f t="shared" si="9"/>
        <v>0</v>
      </c>
      <c r="Q21" s="157">
        <f t="shared" si="10"/>
        <v>264.41000000000003</v>
      </c>
      <c r="R21" s="157">
        <f t="shared" si="11"/>
        <v>0</v>
      </c>
      <c r="S21" s="157">
        <f t="shared" si="12"/>
        <v>0</v>
      </c>
      <c r="T21" s="157">
        <f t="shared" si="13"/>
        <v>0</v>
      </c>
      <c r="U21" s="157">
        <f t="shared" si="14"/>
        <v>0</v>
      </c>
      <c r="V21" s="157">
        <f t="shared" si="15"/>
        <v>264.41000000000003</v>
      </c>
    </row>
    <row r="22" spans="1:22">
      <c r="A22" s="47">
        <f>'A.1_Tabla Costes Subrogación'!A22</f>
        <v>1</v>
      </c>
      <c r="B22" s="51" t="str">
        <f>'A.1_Tabla Costes Subrogación'!B22</f>
        <v xml:space="preserve"> AUXILIAR JARD.  </v>
      </c>
      <c r="C22" s="51"/>
      <c r="D22" s="51"/>
      <c r="E22" s="151">
        <f>'A.1_Tabla Costes Subrogación'!E22</f>
        <v>39539</v>
      </c>
      <c r="F22" s="152">
        <f t="shared" si="1"/>
        <v>2008</v>
      </c>
      <c r="G22" s="153">
        <f t="shared" si="2"/>
        <v>2025</v>
      </c>
      <c r="H22" s="153">
        <f t="shared" si="3"/>
        <v>17</v>
      </c>
      <c r="I22" s="153">
        <f t="shared" si="2"/>
        <v>2033</v>
      </c>
      <c r="J22" s="153">
        <f t="shared" si="4"/>
        <v>25</v>
      </c>
      <c r="K22" s="153">
        <f t="shared" si="0"/>
        <v>21</v>
      </c>
      <c r="L22" s="157">
        <f t="shared" si="5"/>
        <v>0</v>
      </c>
      <c r="M22" s="157">
        <f t="shared" si="6"/>
        <v>0</v>
      </c>
      <c r="N22" s="157">
        <f t="shared" si="7"/>
        <v>0</v>
      </c>
      <c r="O22" s="157">
        <f t="shared" si="8"/>
        <v>0</v>
      </c>
      <c r="P22" s="157">
        <f t="shared" si="9"/>
        <v>0</v>
      </c>
      <c r="Q22" s="157">
        <f t="shared" si="10"/>
        <v>0</v>
      </c>
      <c r="R22" s="157">
        <f t="shared" si="11"/>
        <v>280.79000000000002</v>
      </c>
      <c r="S22" s="157">
        <f t="shared" si="12"/>
        <v>0</v>
      </c>
      <c r="T22" s="157">
        <f t="shared" si="13"/>
        <v>0</v>
      </c>
      <c r="U22" s="157">
        <f t="shared" si="14"/>
        <v>0</v>
      </c>
      <c r="V22" s="157">
        <f t="shared" si="15"/>
        <v>280.79000000000002</v>
      </c>
    </row>
    <row r="23" spans="1:22">
      <c r="A23" s="47">
        <f>'A.1_Tabla Costes Subrogación'!A23</f>
        <v>1</v>
      </c>
      <c r="B23" s="51" t="str">
        <f>'A.1_Tabla Costes Subrogación'!B23</f>
        <v xml:space="preserve"> AUXILIAR JARD.  </v>
      </c>
      <c r="C23" s="51"/>
      <c r="D23" s="51"/>
      <c r="E23" s="151">
        <f>'A.1_Tabla Costes Subrogación'!E23</f>
        <v>38749</v>
      </c>
      <c r="F23" s="152">
        <f t="shared" si="1"/>
        <v>2006</v>
      </c>
      <c r="G23" s="153">
        <f t="shared" si="2"/>
        <v>2025</v>
      </c>
      <c r="H23" s="153">
        <f t="shared" si="3"/>
        <v>19</v>
      </c>
      <c r="I23" s="153">
        <f t="shared" si="2"/>
        <v>2033</v>
      </c>
      <c r="J23" s="153">
        <f t="shared" si="4"/>
        <v>27</v>
      </c>
      <c r="K23" s="153">
        <f t="shared" si="0"/>
        <v>23</v>
      </c>
      <c r="L23" s="157">
        <f t="shared" si="5"/>
        <v>0</v>
      </c>
      <c r="M23" s="157">
        <f t="shared" si="6"/>
        <v>0</v>
      </c>
      <c r="N23" s="157">
        <f t="shared" si="7"/>
        <v>0</v>
      </c>
      <c r="O23" s="157">
        <f t="shared" si="8"/>
        <v>0</v>
      </c>
      <c r="P23" s="157">
        <f t="shared" si="9"/>
        <v>0</v>
      </c>
      <c r="Q23" s="157">
        <f t="shared" si="10"/>
        <v>0</v>
      </c>
      <c r="R23" s="157">
        <f t="shared" si="11"/>
        <v>0</v>
      </c>
      <c r="S23" s="157">
        <f t="shared" si="12"/>
        <v>343.31</v>
      </c>
      <c r="T23" s="157">
        <f t="shared" si="13"/>
        <v>0</v>
      </c>
      <c r="U23" s="157">
        <f t="shared" si="14"/>
        <v>0</v>
      </c>
      <c r="V23" s="157">
        <f t="shared" si="15"/>
        <v>343.31</v>
      </c>
    </row>
    <row r="24" spans="1:22">
      <c r="A24" s="47">
        <f>'A.1_Tabla Costes Subrogación'!A24</f>
        <v>1</v>
      </c>
      <c r="B24" s="51" t="str">
        <f>'A.1_Tabla Costes Subrogación'!B24</f>
        <v xml:space="preserve"> AUXILIAR JARD.  </v>
      </c>
      <c r="C24" s="51"/>
      <c r="D24" s="51"/>
      <c r="E24" s="151">
        <f>'A.1_Tabla Costes Subrogación'!E24</f>
        <v>38749</v>
      </c>
      <c r="F24" s="152">
        <f t="shared" si="1"/>
        <v>2006</v>
      </c>
      <c r="G24" s="153">
        <f t="shared" si="2"/>
        <v>2025</v>
      </c>
      <c r="H24" s="153">
        <f t="shared" si="3"/>
        <v>19</v>
      </c>
      <c r="I24" s="153">
        <f t="shared" si="2"/>
        <v>2033</v>
      </c>
      <c r="J24" s="153">
        <f t="shared" si="4"/>
        <v>27</v>
      </c>
      <c r="K24" s="153">
        <f t="shared" si="0"/>
        <v>23</v>
      </c>
      <c r="L24" s="157">
        <f t="shared" si="5"/>
        <v>0</v>
      </c>
      <c r="M24" s="157">
        <f t="shared" si="6"/>
        <v>0</v>
      </c>
      <c r="N24" s="157">
        <f t="shared" si="7"/>
        <v>0</v>
      </c>
      <c r="O24" s="157">
        <f t="shared" si="8"/>
        <v>0</v>
      </c>
      <c r="P24" s="157">
        <f t="shared" si="9"/>
        <v>0</v>
      </c>
      <c r="Q24" s="157">
        <f t="shared" si="10"/>
        <v>0</v>
      </c>
      <c r="R24" s="157">
        <f t="shared" si="11"/>
        <v>0</v>
      </c>
      <c r="S24" s="157">
        <f t="shared" si="12"/>
        <v>343.31</v>
      </c>
      <c r="T24" s="157">
        <f t="shared" si="13"/>
        <v>0</v>
      </c>
      <c r="U24" s="157">
        <f t="shared" si="14"/>
        <v>0</v>
      </c>
      <c r="V24" s="157">
        <f t="shared" si="15"/>
        <v>343.31</v>
      </c>
    </row>
    <row r="25" spans="1:22">
      <c r="A25" s="47">
        <f>'A.1_Tabla Costes Subrogación'!A25</f>
        <v>1</v>
      </c>
      <c r="B25" s="51" t="str">
        <f>'A.1_Tabla Costes Subrogación'!B25</f>
        <v xml:space="preserve"> AUXILIAR JARD.  </v>
      </c>
      <c r="C25" s="51"/>
      <c r="D25" s="51"/>
      <c r="E25" s="151">
        <f>'A.1_Tabla Costes Subrogación'!E25</f>
        <v>35827</v>
      </c>
      <c r="F25" s="152">
        <f t="shared" si="1"/>
        <v>1998</v>
      </c>
      <c r="G25" s="153">
        <f t="shared" si="2"/>
        <v>2025</v>
      </c>
      <c r="H25" s="153">
        <f t="shared" si="3"/>
        <v>27</v>
      </c>
      <c r="I25" s="153">
        <f t="shared" si="2"/>
        <v>2033</v>
      </c>
      <c r="J25" s="153">
        <f t="shared" si="4"/>
        <v>35</v>
      </c>
      <c r="K25" s="153">
        <f t="shared" si="0"/>
        <v>31</v>
      </c>
      <c r="L25" s="157">
        <f t="shared" si="5"/>
        <v>0</v>
      </c>
      <c r="M25" s="157">
        <f t="shared" si="6"/>
        <v>0</v>
      </c>
      <c r="N25" s="157">
        <f t="shared" si="7"/>
        <v>0</v>
      </c>
      <c r="O25" s="157">
        <f t="shared" si="8"/>
        <v>0</v>
      </c>
      <c r="P25" s="157">
        <f t="shared" si="9"/>
        <v>0</v>
      </c>
      <c r="Q25" s="157">
        <f t="shared" si="10"/>
        <v>0</v>
      </c>
      <c r="R25" s="157">
        <f t="shared" si="11"/>
        <v>0</v>
      </c>
      <c r="S25" s="157">
        <f t="shared" si="12"/>
        <v>0</v>
      </c>
      <c r="T25" s="157">
        <f t="shared" si="13"/>
        <v>0</v>
      </c>
      <c r="U25" s="157">
        <f t="shared" si="14"/>
        <v>421.15</v>
      </c>
      <c r="V25" s="157">
        <f t="shared" si="15"/>
        <v>421.15</v>
      </c>
    </row>
    <row r="26" spans="1:22">
      <c r="A26" s="47">
        <f>'A.1_Tabla Costes Subrogación'!A26</f>
        <v>1</v>
      </c>
      <c r="B26" s="51" t="str">
        <f>'A.1_Tabla Costes Subrogación'!B26</f>
        <v xml:space="preserve"> AUXILIAR JARD.  </v>
      </c>
      <c r="C26" s="51"/>
      <c r="D26" s="51"/>
      <c r="E26" s="151">
        <f>'A.1_Tabla Costes Subrogación'!E26</f>
        <v>38749</v>
      </c>
      <c r="F26" s="152">
        <f t="shared" si="1"/>
        <v>2006</v>
      </c>
      <c r="G26" s="153">
        <f t="shared" si="2"/>
        <v>2025</v>
      </c>
      <c r="H26" s="153">
        <f t="shared" si="3"/>
        <v>19</v>
      </c>
      <c r="I26" s="153">
        <f t="shared" si="2"/>
        <v>2033</v>
      </c>
      <c r="J26" s="153">
        <f t="shared" si="4"/>
        <v>27</v>
      </c>
      <c r="K26" s="153">
        <f t="shared" si="0"/>
        <v>23</v>
      </c>
      <c r="L26" s="157">
        <f t="shared" si="5"/>
        <v>0</v>
      </c>
      <c r="M26" s="157">
        <f t="shared" si="6"/>
        <v>0</v>
      </c>
      <c r="N26" s="157">
        <f t="shared" si="7"/>
        <v>0</v>
      </c>
      <c r="O26" s="157">
        <f t="shared" si="8"/>
        <v>0</v>
      </c>
      <c r="P26" s="157">
        <f t="shared" si="9"/>
        <v>0</v>
      </c>
      <c r="Q26" s="157">
        <f t="shared" si="10"/>
        <v>0</v>
      </c>
      <c r="R26" s="157">
        <f t="shared" si="11"/>
        <v>0</v>
      </c>
      <c r="S26" s="157">
        <f t="shared" si="12"/>
        <v>343.31</v>
      </c>
      <c r="T26" s="157">
        <f t="shared" si="13"/>
        <v>0</v>
      </c>
      <c r="U26" s="157">
        <f t="shared" si="14"/>
        <v>0</v>
      </c>
      <c r="V26" s="157">
        <f t="shared" si="15"/>
        <v>343.31</v>
      </c>
    </row>
    <row r="27" spans="1:22">
      <c r="A27" s="47">
        <f>'A.1_Tabla Costes Subrogación'!A27</f>
        <v>1</v>
      </c>
      <c r="B27" s="51" t="str">
        <f>'A.1_Tabla Costes Subrogación'!B27</f>
        <v xml:space="preserve"> AUXILIAR JARD.  </v>
      </c>
      <c r="C27" s="51"/>
      <c r="D27" s="51"/>
      <c r="E27" s="151">
        <f>'A.1_Tabla Costes Subrogación'!E27</f>
        <v>38932</v>
      </c>
      <c r="F27" s="152">
        <f t="shared" ref="F27:F62" si="16">YEAR(E27)</f>
        <v>2006</v>
      </c>
      <c r="G27" s="153">
        <f t="shared" si="2"/>
        <v>2025</v>
      </c>
      <c r="H27" s="153">
        <f t="shared" ref="H27:H62" si="17">G27-F27</f>
        <v>19</v>
      </c>
      <c r="I27" s="153">
        <f t="shared" si="2"/>
        <v>2033</v>
      </c>
      <c r="J27" s="153">
        <f t="shared" ref="J27:J62" si="18">I27-F27</f>
        <v>27</v>
      </c>
      <c r="K27" s="153">
        <f t="shared" ref="K27:K62" si="19">(H27+J27)/2</f>
        <v>23</v>
      </c>
      <c r="L27" s="157">
        <f t="shared" si="5"/>
        <v>0</v>
      </c>
      <c r="M27" s="157">
        <f t="shared" si="6"/>
        <v>0</v>
      </c>
      <c r="N27" s="157">
        <f t="shared" si="7"/>
        <v>0</v>
      </c>
      <c r="O27" s="157">
        <f t="shared" si="8"/>
        <v>0</v>
      </c>
      <c r="P27" s="157">
        <f t="shared" si="9"/>
        <v>0</v>
      </c>
      <c r="Q27" s="157">
        <f t="shared" si="10"/>
        <v>0</v>
      </c>
      <c r="R27" s="157">
        <f t="shared" si="11"/>
        <v>0</v>
      </c>
      <c r="S27" s="157">
        <f t="shared" si="12"/>
        <v>343.31</v>
      </c>
      <c r="T27" s="157">
        <f t="shared" si="13"/>
        <v>0</v>
      </c>
      <c r="U27" s="157">
        <f t="shared" si="14"/>
        <v>0</v>
      </c>
      <c r="V27" s="157">
        <f t="shared" si="15"/>
        <v>343.31</v>
      </c>
    </row>
    <row r="28" spans="1:22">
      <c r="A28" s="47">
        <f>'A.1_Tabla Costes Subrogación'!A28</f>
        <v>1</v>
      </c>
      <c r="B28" s="51" t="str">
        <f>'A.1_Tabla Costes Subrogación'!B28</f>
        <v xml:space="preserve"> AUXILIAR JARD.  </v>
      </c>
      <c r="C28" s="51"/>
      <c r="D28" s="51"/>
      <c r="E28" s="151">
        <f>'A.1_Tabla Costes Subrogación'!E28</f>
        <v>38749</v>
      </c>
      <c r="F28" s="152">
        <f t="shared" si="16"/>
        <v>2006</v>
      </c>
      <c r="G28" s="153">
        <f t="shared" ref="G28:I44" si="20">G$4</f>
        <v>2025</v>
      </c>
      <c r="H28" s="153">
        <f t="shared" si="17"/>
        <v>19</v>
      </c>
      <c r="I28" s="153">
        <f t="shared" si="20"/>
        <v>2033</v>
      </c>
      <c r="J28" s="153">
        <f t="shared" si="18"/>
        <v>27</v>
      </c>
      <c r="K28" s="153">
        <f t="shared" si="19"/>
        <v>23</v>
      </c>
      <c r="L28" s="157">
        <f t="shared" si="5"/>
        <v>0</v>
      </c>
      <c r="M28" s="157">
        <f t="shared" si="6"/>
        <v>0</v>
      </c>
      <c r="N28" s="157">
        <f t="shared" si="7"/>
        <v>0</v>
      </c>
      <c r="O28" s="157">
        <f t="shared" si="8"/>
        <v>0</v>
      </c>
      <c r="P28" s="157">
        <f t="shared" si="9"/>
        <v>0</v>
      </c>
      <c r="Q28" s="157">
        <f t="shared" si="10"/>
        <v>0</v>
      </c>
      <c r="R28" s="157">
        <f t="shared" si="11"/>
        <v>0</v>
      </c>
      <c r="S28" s="157">
        <f t="shared" si="12"/>
        <v>343.31</v>
      </c>
      <c r="T28" s="157">
        <f t="shared" si="13"/>
        <v>0</v>
      </c>
      <c r="U28" s="157">
        <f t="shared" si="14"/>
        <v>0</v>
      </c>
      <c r="V28" s="157">
        <f t="shared" si="15"/>
        <v>343.31</v>
      </c>
    </row>
    <row r="29" spans="1:22">
      <c r="A29" s="47">
        <f>'A.1_Tabla Costes Subrogación'!A29</f>
        <v>1</v>
      </c>
      <c r="B29" s="51" t="str">
        <f>'A.1_Tabla Costes Subrogación'!B29</f>
        <v xml:space="preserve"> AUXILIAR JARD.  </v>
      </c>
      <c r="C29" s="51"/>
      <c r="D29" s="51"/>
      <c r="E29" s="151">
        <f>'A.1_Tabla Costes Subrogación'!E29</f>
        <v>38749</v>
      </c>
      <c r="F29" s="152">
        <f t="shared" si="16"/>
        <v>2006</v>
      </c>
      <c r="G29" s="153">
        <f t="shared" si="20"/>
        <v>2025</v>
      </c>
      <c r="H29" s="153">
        <f t="shared" si="17"/>
        <v>19</v>
      </c>
      <c r="I29" s="153">
        <f t="shared" si="20"/>
        <v>2033</v>
      </c>
      <c r="J29" s="153">
        <f t="shared" si="18"/>
        <v>27</v>
      </c>
      <c r="K29" s="153">
        <f t="shared" si="19"/>
        <v>23</v>
      </c>
      <c r="L29" s="157">
        <f t="shared" si="5"/>
        <v>0</v>
      </c>
      <c r="M29" s="157">
        <f t="shared" si="6"/>
        <v>0</v>
      </c>
      <c r="N29" s="157">
        <f t="shared" si="7"/>
        <v>0</v>
      </c>
      <c r="O29" s="157">
        <f t="shared" si="8"/>
        <v>0</v>
      </c>
      <c r="P29" s="157">
        <f t="shared" si="9"/>
        <v>0</v>
      </c>
      <c r="Q29" s="157">
        <f t="shared" si="10"/>
        <v>0</v>
      </c>
      <c r="R29" s="157">
        <f t="shared" si="11"/>
        <v>0</v>
      </c>
      <c r="S29" s="157">
        <f t="shared" si="12"/>
        <v>343.31</v>
      </c>
      <c r="T29" s="157">
        <f t="shared" si="13"/>
        <v>0</v>
      </c>
      <c r="U29" s="157">
        <f t="shared" si="14"/>
        <v>0</v>
      </c>
      <c r="V29" s="157">
        <f t="shared" si="15"/>
        <v>343.31</v>
      </c>
    </row>
    <row r="30" spans="1:22">
      <c r="A30" s="47">
        <f>'A.1_Tabla Costes Subrogación'!A30</f>
        <v>1</v>
      </c>
      <c r="B30" s="51" t="str">
        <f>'A.1_Tabla Costes Subrogación'!B30</f>
        <v xml:space="preserve"> AUXILIAR JARD.  </v>
      </c>
      <c r="C30" s="51"/>
      <c r="D30" s="51"/>
      <c r="E30" s="151">
        <f>'A.1_Tabla Costes Subrogación'!E30</f>
        <v>38932</v>
      </c>
      <c r="F30" s="152">
        <f t="shared" si="16"/>
        <v>2006</v>
      </c>
      <c r="G30" s="153">
        <f t="shared" si="20"/>
        <v>2025</v>
      </c>
      <c r="H30" s="153">
        <f t="shared" si="17"/>
        <v>19</v>
      </c>
      <c r="I30" s="153">
        <f t="shared" si="20"/>
        <v>2033</v>
      </c>
      <c r="J30" s="153">
        <f t="shared" si="18"/>
        <v>27</v>
      </c>
      <c r="K30" s="153">
        <f t="shared" si="19"/>
        <v>23</v>
      </c>
      <c r="L30" s="157">
        <f t="shared" si="5"/>
        <v>0</v>
      </c>
      <c r="M30" s="157">
        <f t="shared" si="6"/>
        <v>0</v>
      </c>
      <c r="N30" s="157">
        <f t="shared" si="7"/>
        <v>0</v>
      </c>
      <c r="O30" s="157">
        <f t="shared" si="8"/>
        <v>0</v>
      </c>
      <c r="P30" s="157">
        <f t="shared" si="9"/>
        <v>0</v>
      </c>
      <c r="Q30" s="157">
        <f t="shared" si="10"/>
        <v>0</v>
      </c>
      <c r="R30" s="157">
        <f t="shared" si="11"/>
        <v>0</v>
      </c>
      <c r="S30" s="157">
        <f t="shared" si="12"/>
        <v>343.31</v>
      </c>
      <c r="T30" s="157">
        <f t="shared" si="13"/>
        <v>0</v>
      </c>
      <c r="U30" s="157">
        <f t="shared" si="14"/>
        <v>0</v>
      </c>
      <c r="V30" s="157">
        <f t="shared" si="15"/>
        <v>343.31</v>
      </c>
    </row>
    <row r="31" spans="1:22">
      <c r="A31" s="47">
        <f>'A.1_Tabla Costes Subrogación'!A31</f>
        <v>1</v>
      </c>
      <c r="B31" s="51" t="str">
        <f>'A.1_Tabla Costes Subrogación'!B31</f>
        <v xml:space="preserve"> AUXILIAR JARD.  </v>
      </c>
      <c r="C31" s="51"/>
      <c r="D31" s="51"/>
      <c r="E31" s="151">
        <f>'A.1_Tabla Costes Subrogación'!E31</f>
        <v>42036</v>
      </c>
      <c r="F31" s="152">
        <f t="shared" si="16"/>
        <v>2015</v>
      </c>
      <c r="G31" s="153">
        <f t="shared" si="20"/>
        <v>2025</v>
      </c>
      <c r="H31" s="153">
        <f t="shared" si="17"/>
        <v>10</v>
      </c>
      <c r="I31" s="153">
        <f t="shared" si="20"/>
        <v>2033</v>
      </c>
      <c r="J31" s="153">
        <f t="shared" si="18"/>
        <v>18</v>
      </c>
      <c r="K31" s="153">
        <f t="shared" si="19"/>
        <v>14</v>
      </c>
      <c r="L31" s="157">
        <f t="shared" si="5"/>
        <v>0</v>
      </c>
      <c r="M31" s="157">
        <f t="shared" si="6"/>
        <v>0</v>
      </c>
      <c r="N31" s="157">
        <f t="shared" si="7"/>
        <v>0</v>
      </c>
      <c r="O31" s="157">
        <f t="shared" si="8"/>
        <v>175.53</v>
      </c>
      <c r="P31" s="157">
        <f t="shared" si="9"/>
        <v>0</v>
      </c>
      <c r="Q31" s="157">
        <f t="shared" si="10"/>
        <v>0</v>
      </c>
      <c r="R31" s="157">
        <f t="shared" si="11"/>
        <v>0</v>
      </c>
      <c r="S31" s="157">
        <f t="shared" si="12"/>
        <v>0</v>
      </c>
      <c r="T31" s="157">
        <f t="shared" si="13"/>
        <v>0</v>
      </c>
      <c r="U31" s="157">
        <f t="shared" si="14"/>
        <v>0</v>
      </c>
      <c r="V31" s="157">
        <f t="shared" si="15"/>
        <v>175.53</v>
      </c>
    </row>
    <row r="32" spans="1:22">
      <c r="A32" s="47">
        <f>'A.1_Tabla Costes Subrogación'!A32</f>
        <v>1</v>
      </c>
      <c r="B32" s="51" t="str">
        <f>'A.1_Tabla Costes Subrogación'!B32</f>
        <v xml:space="preserve"> AUXILIAR JARD.  </v>
      </c>
      <c r="C32" s="51"/>
      <c r="D32" s="51"/>
      <c r="E32" s="151">
        <f>'A.1_Tabla Costes Subrogación'!E32</f>
        <v>38749</v>
      </c>
      <c r="F32" s="152">
        <f t="shared" si="16"/>
        <v>2006</v>
      </c>
      <c r="G32" s="153">
        <f t="shared" si="20"/>
        <v>2025</v>
      </c>
      <c r="H32" s="153">
        <f t="shared" si="17"/>
        <v>19</v>
      </c>
      <c r="I32" s="153">
        <f t="shared" si="20"/>
        <v>2033</v>
      </c>
      <c r="J32" s="153">
        <f t="shared" si="18"/>
        <v>27</v>
      </c>
      <c r="K32" s="153">
        <f t="shared" si="19"/>
        <v>23</v>
      </c>
      <c r="L32" s="157">
        <f t="shared" si="5"/>
        <v>0</v>
      </c>
      <c r="M32" s="157">
        <f t="shared" si="6"/>
        <v>0</v>
      </c>
      <c r="N32" s="157">
        <f t="shared" si="7"/>
        <v>0</v>
      </c>
      <c r="O32" s="157">
        <f t="shared" si="8"/>
        <v>0</v>
      </c>
      <c r="P32" s="157">
        <f t="shared" si="9"/>
        <v>0</v>
      </c>
      <c r="Q32" s="157">
        <f t="shared" si="10"/>
        <v>0</v>
      </c>
      <c r="R32" s="157">
        <f t="shared" si="11"/>
        <v>0</v>
      </c>
      <c r="S32" s="157">
        <f t="shared" si="12"/>
        <v>343.31</v>
      </c>
      <c r="T32" s="157">
        <f t="shared" si="13"/>
        <v>0</v>
      </c>
      <c r="U32" s="157">
        <f t="shared" si="14"/>
        <v>0</v>
      </c>
      <c r="V32" s="157">
        <f t="shared" si="15"/>
        <v>343.31</v>
      </c>
    </row>
    <row r="33" spans="1:22">
      <c r="A33" s="47">
        <f>'A.1_Tabla Costes Subrogación'!A33</f>
        <v>1</v>
      </c>
      <c r="B33" s="51" t="str">
        <f>'A.1_Tabla Costes Subrogación'!B33</f>
        <v xml:space="preserve"> AUXILIAR JARD.  </v>
      </c>
      <c r="C33" s="51"/>
      <c r="D33" s="51"/>
      <c r="E33" s="151">
        <f>'A.1_Tabla Costes Subrogación'!E33</f>
        <v>40250</v>
      </c>
      <c r="F33" s="152">
        <f t="shared" si="16"/>
        <v>2010</v>
      </c>
      <c r="G33" s="153">
        <f t="shared" si="20"/>
        <v>2025</v>
      </c>
      <c r="H33" s="153">
        <f t="shared" si="17"/>
        <v>15</v>
      </c>
      <c r="I33" s="153">
        <f t="shared" si="20"/>
        <v>2033</v>
      </c>
      <c r="J33" s="153">
        <f t="shared" si="18"/>
        <v>23</v>
      </c>
      <c r="K33" s="153">
        <f t="shared" si="19"/>
        <v>19</v>
      </c>
      <c r="L33" s="157">
        <f t="shared" si="5"/>
        <v>0</v>
      </c>
      <c r="M33" s="157">
        <f t="shared" si="6"/>
        <v>0</v>
      </c>
      <c r="N33" s="157">
        <f t="shared" si="7"/>
        <v>0</v>
      </c>
      <c r="O33" s="157">
        <f t="shared" si="8"/>
        <v>0</v>
      </c>
      <c r="P33" s="157">
        <f t="shared" si="9"/>
        <v>0</v>
      </c>
      <c r="Q33" s="157">
        <f t="shared" si="10"/>
        <v>264.41000000000003</v>
      </c>
      <c r="R33" s="157">
        <f t="shared" si="11"/>
        <v>0</v>
      </c>
      <c r="S33" s="157">
        <f t="shared" si="12"/>
        <v>0</v>
      </c>
      <c r="T33" s="157">
        <f t="shared" si="13"/>
        <v>0</v>
      </c>
      <c r="U33" s="157">
        <f t="shared" si="14"/>
        <v>0</v>
      </c>
      <c r="V33" s="157">
        <f t="shared" si="15"/>
        <v>264.41000000000003</v>
      </c>
    </row>
    <row r="34" spans="1:22">
      <c r="A34" s="47">
        <f>'A.1_Tabla Costes Subrogación'!A34</f>
        <v>1</v>
      </c>
      <c r="B34" s="51" t="str">
        <f>'A.1_Tabla Costes Subrogación'!B34</f>
        <v xml:space="preserve"> AUXILIAR JARD.  </v>
      </c>
      <c r="C34" s="51"/>
      <c r="D34" s="51"/>
      <c r="E34" s="151">
        <f>'A.1_Tabla Costes Subrogación'!E34</f>
        <v>39038</v>
      </c>
      <c r="F34" s="152">
        <f t="shared" si="16"/>
        <v>2006</v>
      </c>
      <c r="G34" s="153">
        <f t="shared" si="20"/>
        <v>2025</v>
      </c>
      <c r="H34" s="153">
        <f t="shared" si="17"/>
        <v>19</v>
      </c>
      <c r="I34" s="153">
        <f t="shared" si="20"/>
        <v>2033</v>
      </c>
      <c r="J34" s="153">
        <f t="shared" si="18"/>
        <v>27</v>
      </c>
      <c r="K34" s="153">
        <f t="shared" si="19"/>
        <v>23</v>
      </c>
      <c r="L34" s="157">
        <f t="shared" si="5"/>
        <v>0</v>
      </c>
      <c r="M34" s="157">
        <f t="shared" si="6"/>
        <v>0</v>
      </c>
      <c r="N34" s="157">
        <f t="shared" si="7"/>
        <v>0</v>
      </c>
      <c r="O34" s="157">
        <f t="shared" si="8"/>
        <v>0</v>
      </c>
      <c r="P34" s="157">
        <f t="shared" si="9"/>
        <v>0</v>
      </c>
      <c r="Q34" s="157">
        <f t="shared" si="10"/>
        <v>0</v>
      </c>
      <c r="R34" s="157">
        <f t="shared" si="11"/>
        <v>0</v>
      </c>
      <c r="S34" s="157">
        <f t="shared" si="12"/>
        <v>343.31</v>
      </c>
      <c r="T34" s="157">
        <f t="shared" si="13"/>
        <v>0</v>
      </c>
      <c r="U34" s="157">
        <f t="shared" si="14"/>
        <v>0</v>
      </c>
      <c r="V34" s="157">
        <f t="shared" si="15"/>
        <v>343.31</v>
      </c>
    </row>
    <row r="35" spans="1:22">
      <c r="A35" s="47">
        <f>'A.1_Tabla Costes Subrogación'!A35</f>
        <v>1</v>
      </c>
      <c r="B35" s="51" t="str">
        <f>'A.1_Tabla Costes Subrogación'!B35</f>
        <v xml:space="preserve"> AUXILIAR JARD.  </v>
      </c>
      <c r="C35" s="51"/>
      <c r="D35" s="51"/>
      <c r="E35" s="151">
        <f>'A.1_Tabla Costes Subrogación'!E35</f>
        <v>39663</v>
      </c>
      <c r="F35" s="152">
        <f t="shared" si="16"/>
        <v>2008</v>
      </c>
      <c r="G35" s="153">
        <f t="shared" si="20"/>
        <v>2025</v>
      </c>
      <c r="H35" s="153">
        <f t="shared" si="17"/>
        <v>17</v>
      </c>
      <c r="I35" s="153">
        <f t="shared" si="20"/>
        <v>2033</v>
      </c>
      <c r="J35" s="153">
        <f t="shared" si="18"/>
        <v>25</v>
      </c>
      <c r="K35" s="153">
        <f t="shared" si="19"/>
        <v>21</v>
      </c>
      <c r="L35" s="157">
        <f t="shared" si="5"/>
        <v>0</v>
      </c>
      <c r="M35" s="157">
        <f t="shared" si="6"/>
        <v>0</v>
      </c>
      <c r="N35" s="157">
        <f t="shared" si="7"/>
        <v>0</v>
      </c>
      <c r="O35" s="157">
        <f t="shared" si="8"/>
        <v>0</v>
      </c>
      <c r="P35" s="157">
        <f t="shared" si="9"/>
        <v>0</v>
      </c>
      <c r="Q35" s="157">
        <f t="shared" si="10"/>
        <v>0</v>
      </c>
      <c r="R35" s="157">
        <f t="shared" si="11"/>
        <v>280.79000000000002</v>
      </c>
      <c r="S35" s="157">
        <f t="shared" si="12"/>
        <v>0</v>
      </c>
      <c r="T35" s="157">
        <f t="shared" si="13"/>
        <v>0</v>
      </c>
      <c r="U35" s="157">
        <f t="shared" si="14"/>
        <v>0</v>
      </c>
      <c r="V35" s="157">
        <f t="shared" si="15"/>
        <v>280.79000000000002</v>
      </c>
    </row>
    <row r="36" spans="1:22">
      <c r="A36" s="47">
        <f>'A.1_Tabla Costes Subrogación'!A36</f>
        <v>1</v>
      </c>
      <c r="B36" s="51" t="str">
        <f>'A.1_Tabla Costes Subrogación'!B36</f>
        <v xml:space="preserve"> AUXILIAR JARD.  </v>
      </c>
      <c r="C36" s="51"/>
      <c r="D36" s="51"/>
      <c r="E36" s="151">
        <f>'A.1_Tabla Costes Subrogación'!E36</f>
        <v>39650</v>
      </c>
      <c r="F36" s="152">
        <f t="shared" si="16"/>
        <v>2008</v>
      </c>
      <c r="G36" s="153">
        <f t="shared" si="20"/>
        <v>2025</v>
      </c>
      <c r="H36" s="153">
        <f t="shared" si="17"/>
        <v>17</v>
      </c>
      <c r="I36" s="153">
        <f t="shared" si="20"/>
        <v>2033</v>
      </c>
      <c r="J36" s="153">
        <f t="shared" si="18"/>
        <v>25</v>
      </c>
      <c r="K36" s="153">
        <f t="shared" si="19"/>
        <v>21</v>
      </c>
      <c r="L36" s="157">
        <f t="shared" si="5"/>
        <v>0</v>
      </c>
      <c r="M36" s="157">
        <f t="shared" si="6"/>
        <v>0</v>
      </c>
      <c r="N36" s="157">
        <f t="shared" si="7"/>
        <v>0</v>
      </c>
      <c r="O36" s="157">
        <f t="shared" si="8"/>
        <v>0</v>
      </c>
      <c r="P36" s="157">
        <f t="shared" si="9"/>
        <v>0</v>
      </c>
      <c r="Q36" s="157">
        <f t="shared" si="10"/>
        <v>0</v>
      </c>
      <c r="R36" s="157">
        <f t="shared" si="11"/>
        <v>280.79000000000002</v>
      </c>
      <c r="S36" s="157">
        <f t="shared" si="12"/>
        <v>0</v>
      </c>
      <c r="T36" s="157">
        <f t="shared" si="13"/>
        <v>0</v>
      </c>
      <c r="U36" s="157">
        <f t="shared" si="14"/>
        <v>0</v>
      </c>
      <c r="V36" s="157">
        <f t="shared" si="15"/>
        <v>280.79000000000002</v>
      </c>
    </row>
    <row r="37" spans="1:22">
      <c r="A37" s="47">
        <f>'A.1_Tabla Costes Subrogación'!A37</f>
        <v>1</v>
      </c>
      <c r="B37" s="51" t="str">
        <f>'A.1_Tabla Costes Subrogación'!B37</f>
        <v xml:space="preserve"> AUXILIAR JARD.  </v>
      </c>
      <c r="C37" s="51"/>
      <c r="D37" s="51"/>
      <c r="E37" s="151">
        <f>'A.1_Tabla Costes Subrogación'!E37</f>
        <v>38749</v>
      </c>
      <c r="F37" s="152">
        <f t="shared" si="16"/>
        <v>2006</v>
      </c>
      <c r="G37" s="153">
        <f t="shared" si="20"/>
        <v>2025</v>
      </c>
      <c r="H37" s="153">
        <f t="shared" si="17"/>
        <v>19</v>
      </c>
      <c r="I37" s="153">
        <f t="shared" si="20"/>
        <v>2033</v>
      </c>
      <c r="J37" s="153">
        <f t="shared" si="18"/>
        <v>27</v>
      </c>
      <c r="K37" s="153">
        <f t="shared" si="19"/>
        <v>23</v>
      </c>
      <c r="L37" s="157">
        <f t="shared" si="5"/>
        <v>0</v>
      </c>
      <c r="M37" s="157">
        <f t="shared" si="6"/>
        <v>0</v>
      </c>
      <c r="N37" s="157">
        <f t="shared" si="7"/>
        <v>0</v>
      </c>
      <c r="O37" s="157">
        <f t="shared" si="8"/>
        <v>0</v>
      </c>
      <c r="P37" s="157">
        <f t="shared" si="9"/>
        <v>0</v>
      </c>
      <c r="Q37" s="157">
        <f t="shared" si="10"/>
        <v>0</v>
      </c>
      <c r="R37" s="157">
        <f t="shared" si="11"/>
        <v>0</v>
      </c>
      <c r="S37" s="157">
        <f t="shared" si="12"/>
        <v>343.31</v>
      </c>
      <c r="T37" s="157">
        <f t="shared" si="13"/>
        <v>0</v>
      </c>
      <c r="U37" s="157">
        <f t="shared" si="14"/>
        <v>0</v>
      </c>
      <c r="V37" s="157">
        <f t="shared" si="15"/>
        <v>343.31</v>
      </c>
    </row>
    <row r="38" spans="1:22">
      <c r="A38" s="47">
        <f>'A.1_Tabla Costes Subrogación'!A38</f>
        <v>1</v>
      </c>
      <c r="B38" s="51" t="str">
        <f>'A.1_Tabla Costes Subrogación'!B38</f>
        <v xml:space="preserve"> AUXILIAR JARD.  </v>
      </c>
      <c r="C38" s="51"/>
      <c r="D38" s="51"/>
      <c r="E38" s="151">
        <f>'A.1_Tabla Costes Subrogación'!E38</f>
        <v>38749</v>
      </c>
      <c r="F38" s="152">
        <f t="shared" si="16"/>
        <v>2006</v>
      </c>
      <c r="G38" s="153">
        <f t="shared" si="20"/>
        <v>2025</v>
      </c>
      <c r="H38" s="153">
        <f t="shared" si="17"/>
        <v>19</v>
      </c>
      <c r="I38" s="153">
        <f t="shared" si="20"/>
        <v>2033</v>
      </c>
      <c r="J38" s="153">
        <f t="shared" si="18"/>
        <v>27</v>
      </c>
      <c r="K38" s="153">
        <f t="shared" si="19"/>
        <v>23</v>
      </c>
      <c r="L38" s="157">
        <f t="shared" si="5"/>
        <v>0</v>
      </c>
      <c r="M38" s="157">
        <f t="shared" si="6"/>
        <v>0</v>
      </c>
      <c r="N38" s="157">
        <f t="shared" si="7"/>
        <v>0</v>
      </c>
      <c r="O38" s="157">
        <f t="shared" si="8"/>
        <v>0</v>
      </c>
      <c r="P38" s="157">
        <f t="shared" si="9"/>
        <v>0</v>
      </c>
      <c r="Q38" s="157">
        <f t="shared" si="10"/>
        <v>0</v>
      </c>
      <c r="R38" s="157">
        <f t="shared" si="11"/>
        <v>0</v>
      </c>
      <c r="S38" s="157">
        <f t="shared" si="12"/>
        <v>343.31</v>
      </c>
      <c r="T38" s="157">
        <f t="shared" si="13"/>
        <v>0</v>
      </c>
      <c r="U38" s="157">
        <f t="shared" si="14"/>
        <v>0</v>
      </c>
      <c r="V38" s="157">
        <f t="shared" si="15"/>
        <v>343.31</v>
      </c>
    </row>
    <row r="39" spans="1:22">
      <c r="A39" s="47">
        <f>'A.1_Tabla Costes Subrogación'!A39</f>
        <v>1</v>
      </c>
      <c r="B39" s="51" t="str">
        <f>'A.1_Tabla Costes Subrogación'!B39</f>
        <v xml:space="preserve"> AUXILIAR JARD.  </v>
      </c>
      <c r="C39" s="51"/>
      <c r="D39" s="51"/>
      <c r="E39" s="151">
        <f>'A.1_Tabla Costes Subrogación'!E39</f>
        <v>40196</v>
      </c>
      <c r="F39" s="152">
        <f t="shared" si="16"/>
        <v>2010</v>
      </c>
      <c r="G39" s="153">
        <f t="shared" si="20"/>
        <v>2025</v>
      </c>
      <c r="H39" s="153">
        <f t="shared" si="17"/>
        <v>15</v>
      </c>
      <c r="I39" s="153">
        <f t="shared" si="20"/>
        <v>2033</v>
      </c>
      <c r="J39" s="153">
        <f t="shared" si="18"/>
        <v>23</v>
      </c>
      <c r="K39" s="153">
        <f t="shared" si="19"/>
        <v>19</v>
      </c>
      <c r="L39" s="157">
        <f t="shared" si="5"/>
        <v>0</v>
      </c>
      <c r="M39" s="157">
        <f t="shared" si="6"/>
        <v>0</v>
      </c>
      <c r="N39" s="157">
        <f t="shared" si="7"/>
        <v>0</v>
      </c>
      <c r="O39" s="157">
        <f t="shared" si="8"/>
        <v>0</v>
      </c>
      <c r="P39" s="157">
        <f t="shared" si="9"/>
        <v>0</v>
      </c>
      <c r="Q39" s="157">
        <f t="shared" si="10"/>
        <v>264.41000000000003</v>
      </c>
      <c r="R39" s="157">
        <f t="shared" si="11"/>
        <v>0</v>
      </c>
      <c r="S39" s="157">
        <f t="shared" si="12"/>
        <v>0</v>
      </c>
      <c r="T39" s="157">
        <f t="shared" si="13"/>
        <v>0</v>
      </c>
      <c r="U39" s="157">
        <f t="shared" si="14"/>
        <v>0</v>
      </c>
      <c r="V39" s="157">
        <f t="shared" si="15"/>
        <v>264.41000000000003</v>
      </c>
    </row>
    <row r="40" spans="1:22">
      <c r="A40" s="47">
        <f>'A.1_Tabla Costes Subrogación'!A40</f>
        <v>1</v>
      </c>
      <c r="B40" s="51" t="str">
        <f>'A.1_Tabla Costes Subrogación'!B40</f>
        <v xml:space="preserve"> AUXILIAR JARD.  </v>
      </c>
      <c r="C40" s="51"/>
      <c r="D40" s="51"/>
      <c r="E40" s="151">
        <f>'A.1_Tabla Costes Subrogación'!E40</f>
        <v>39539</v>
      </c>
      <c r="F40" s="152">
        <f t="shared" si="16"/>
        <v>2008</v>
      </c>
      <c r="G40" s="153">
        <f t="shared" si="20"/>
        <v>2025</v>
      </c>
      <c r="H40" s="153">
        <f t="shared" si="17"/>
        <v>17</v>
      </c>
      <c r="I40" s="153">
        <f t="shared" si="20"/>
        <v>2033</v>
      </c>
      <c r="J40" s="153">
        <f t="shared" si="18"/>
        <v>25</v>
      </c>
      <c r="K40" s="153">
        <f t="shared" si="19"/>
        <v>21</v>
      </c>
      <c r="L40" s="157">
        <f t="shared" si="5"/>
        <v>0</v>
      </c>
      <c r="M40" s="157">
        <f t="shared" si="6"/>
        <v>0</v>
      </c>
      <c r="N40" s="157">
        <f t="shared" si="7"/>
        <v>0</v>
      </c>
      <c r="O40" s="157">
        <f t="shared" si="8"/>
        <v>0</v>
      </c>
      <c r="P40" s="157">
        <f t="shared" si="9"/>
        <v>0</v>
      </c>
      <c r="Q40" s="157">
        <f t="shared" si="10"/>
        <v>0</v>
      </c>
      <c r="R40" s="157">
        <f t="shared" si="11"/>
        <v>280.79000000000002</v>
      </c>
      <c r="S40" s="157">
        <f t="shared" si="12"/>
        <v>0</v>
      </c>
      <c r="T40" s="157">
        <f t="shared" si="13"/>
        <v>0</v>
      </c>
      <c r="U40" s="157">
        <f t="shared" si="14"/>
        <v>0</v>
      </c>
      <c r="V40" s="157">
        <f t="shared" si="15"/>
        <v>280.79000000000002</v>
      </c>
    </row>
    <row r="41" spans="1:22">
      <c r="A41" s="47">
        <f>'A.1_Tabla Costes Subrogación'!A41</f>
        <v>1</v>
      </c>
      <c r="B41" s="51" t="str">
        <f>'A.1_Tabla Costes Subrogación'!B41</f>
        <v xml:space="preserve"> AUXILIAR JARD.  </v>
      </c>
      <c r="C41" s="51"/>
      <c r="D41" s="51"/>
      <c r="E41" s="151">
        <f>'A.1_Tabla Costes Subrogación'!E41</f>
        <v>38749</v>
      </c>
      <c r="F41" s="152">
        <f t="shared" si="16"/>
        <v>2006</v>
      </c>
      <c r="G41" s="153">
        <f t="shared" si="20"/>
        <v>2025</v>
      </c>
      <c r="H41" s="153">
        <f t="shared" si="17"/>
        <v>19</v>
      </c>
      <c r="I41" s="153">
        <f t="shared" si="20"/>
        <v>2033</v>
      </c>
      <c r="J41" s="153">
        <f t="shared" si="18"/>
        <v>27</v>
      </c>
      <c r="K41" s="153">
        <f t="shared" si="19"/>
        <v>23</v>
      </c>
      <c r="L41" s="157">
        <f t="shared" ref="L41:L64" si="21">IF(AND(K41&gt;0,K41&lt;3),L$135,0)</f>
        <v>0</v>
      </c>
      <c r="M41" s="157">
        <f t="shared" ref="M41:M64" si="22">IF(AND(K41&gt;2,K41&lt;7),M$135,0)</f>
        <v>0</v>
      </c>
      <c r="N41" s="157">
        <f t="shared" ref="N41:N64" si="23">IF(AND(K41&gt;6,K41&lt;11),N$135,0)</f>
        <v>0</v>
      </c>
      <c r="O41" s="157">
        <f t="shared" ref="O41:O64" si="24">IF(AND(K41&gt;10,K41&lt;15),O$135,0)</f>
        <v>0</v>
      </c>
      <c r="P41" s="157">
        <f t="shared" ref="P41:P64" si="25">IF(AND(K41&gt;14,K41&lt;19),P$135,0)</f>
        <v>0</v>
      </c>
      <c r="Q41" s="157">
        <f t="shared" ref="Q41:Q64" si="26">IF(AND(K41&gt;18,K41&lt;21),Q$135,0)</f>
        <v>0</v>
      </c>
      <c r="R41" s="157">
        <f t="shared" ref="R41:R64" si="27">IF(AND(K41&gt;20,K41&lt;23),R$135,0)</f>
        <v>0</v>
      </c>
      <c r="S41" s="157">
        <f t="shared" ref="S41:S64" si="28">IF(AND(K41&gt;22,K41&lt;25),S$135,0)</f>
        <v>343.31</v>
      </c>
      <c r="T41" s="157">
        <f t="shared" ref="T41:T64" si="29">IF(AND(K41&gt;24,K41&lt;27),T$135,0)</f>
        <v>0</v>
      </c>
      <c r="U41" s="157">
        <f t="shared" ref="U41:U64" si="30">IF(K41&gt;26,U$135,0)</f>
        <v>0</v>
      </c>
      <c r="V41" s="157">
        <f t="shared" si="15"/>
        <v>343.31</v>
      </c>
    </row>
    <row r="42" spans="1:22">
      <c r="A42" s="47">
        <f>'A.1_Tabla Costes Subrogación'!A42</f>
        <v>1</v>
      </c>
      <c r="B42" s="51" t="str">
        <f>'A.1_Tabla Costes Subrogación'!B42</f>
        <v xml:space="preserve"> AUXILIAR JARD.  </v>
      </c>
      <c r="C42" s="51"/>
      <c r="D42" s="51"/>
      <c r="E42" s="151">
        <f>'A.1_Tabla Costes Subrogación'!E42</f>
        <v>38749</v>
      </c>
      <c r="F42" s="152">
        <f t="shared" si="16"/>
        <v>2006</v>
      </c>
      <c r="G42" s="153">
        <f t="shared" si="20"/>
        <v>2025</v>
      </c>
      <c r="H42" s="153">
        <f t="shared" si="17"/>
        <v>19</v>
      </c>
      <c r="I42" s="153">
        <f t="shared" si="20"/>
        <v>2033</v>
      </c>
      <c r="J42" s="153">
        <f t="shared" si="18"/>
        <v>27</v>
      </c>
      <c r="K42" s="153">
        <f t="shared" si="19"/>
        <v>23</v>
      </c>
      <c r="L42" s="157">
        <f t="shared" si="21"/>
        <v>0</v>
      </c>
      <c r="M42" s="157">
        <f t="shared" si="22"/>
        <v>0</v>
      </c>
      <c r="N42" s="157">
        <f t="shared" si="23"/>
        <v>0</v>
      </c>
      <c r="O42" s="157">
        <f t="shared" si="24"/>
        <v>0</v>
      </c>
      <c r="P42" s="157">
        <f t="shared" si="25"/>
        <v>0</v>
      </c>
      <c r="Q42" s="157">
        <f t="shared" si="26"/>
        <v>0</v>
      </c>
      <c r="R42" s="157">
        <f t="shared" si="27"/>
        <v>0</v>
      </c>
      <c r="S42" s="157">
        <f t="shared" si="28"/>
        <v>343.31</v>
      </c>
      <c r="T42" s="157">
        <f t="shared" si="29"/>
        <v>0</v>
      </c>
      <c r="U42" s="157">
        <f t="shared" si="30"/>
        <v>0</v>
      </c>
      <c r="V42" s="157">
        <f t="shared" si="15"/>
        <v>343.31</v>
      </c>
    </row>
    <row r="43" spans="1:22">
      <c r="A43" s="47">
        <f>'A.1_Tabla Costes Subrogación'!A43</f>
        <v>1</v>
      </c>
      <c r="B43" s="51" t="str">
        <f>'A.1_Tabla Costes Subrogación'!B43</f>
        <v xml:space="preserve"> AUXILIAR JARD.  </v>
      </c>
      <c r="C43" s="51"/>
      <c r="D43" s="51"/>
      <c r="E43" s="151">
        <f>'A.1_Tabla Costes Subrogación'!E43</f>
        <v>35827</v>
      </c>
      <c r="F43" s="152">
        <f t="shared" si="16"/>
        <v>1998</v>
      </c>
      <c r="G43" s="153">
        <f t="shared" si="20"/>
        <v>2025</v>
      </c>
      <c r="H43" s="153">
        <f t="shared" si="17"/>
        <v>27</v>
      </c>
      <c r="I43" s="153">
        <f t="shared" si="20"/>
        <v>2033</v>
      </c>
      <c r="J43" s="153">
        <f t="shared" si="18"/>
        <v>35</v>
      </c>
      <c r="K43" s="153">
        <f t="shared" si="19"/>
        <v>31</v>
      </c>
      <c r="L43" s="157">
        <f t="shared" si="21"/>
        <v>0</v>
      </c>
      <c r="M43" s="157">
        <f t="shared" si="22"/>
        <v>0</v>
      </c>
      <c r="N43" s="157">
        <f t="shared" si="23"/>
        <v>0</v>
      </c>
      <c r="O43" s="157">
        <f t="shared" si="24"/>
        <v>0</v>
      </c>
      <c r="P43" s="157">
        <f t="shared" si="25"/>
        <v>0</v>
      </c>
      <c r="Q43" s="157">
        <f t="shared" si="26"/>
        <v>0</v>
      </c>
      <c r="R43" s="157">
        <f t="shared" si="27"/>
        <v>0</v>
      </c>
      <c r="S43" s="157">
        <f t="shared" si="28"/>
        <v>0</v>
      </c>
      <c r="T43" s="157">
        <f t="shared" si="29"/>
        <v>0</v>
      </c>
      <c r="U43" s="157">
        <f t="shared" si="30"/>
        <v>421.15</v>
      </c>
      <c r="V43" s="157">
        <f t="shared" si="15"/>
        <v>421.15</v>
      </c>
    </row>
    <row r="44" spans="1:22">
      <c r="A44" s="47">
        <f>'A.1_Tabla Costes Subrogación'!A44</f>
        <v>1</v>
      </c>
      <c r="B44" s="51" t="str">
        <f>'A.1_Tabla Costes Subrogación'!B44</f>
        <v xml:space="preserve"> AUXILIAR JARD.  </v>
      </c>
      <c r="C44" s="51"/>
      <c r="D44" s="51"/>
      <c r="E44" s="151">
        <f>'A.1_Tabla Costes Subrogación'!E44</f>
        <v>38749</v>
      </c>
      <c r="F44" s="152">
        <f t="shared" si="16"/>
        <v>2006</v>
      </c>
      <c r="G44" s="153">
        <f t="shared" si="20"/>
        <v>2025</v>
      </c>
      <c r="H44" s="153">
        <f t="shared" si="17"/>
        <v>19</v>
      </c>
      <c r="I44" s="153">
        <f t="shared" si="20"/>
        <v>2033</v>
      </c>
      <c r="J44" s="153">
        <f t="shared" si="18"/>
        <v>27</v>
      </c>
      <c r="K44" s="153">
        <f t="shared" si="19"/>
        <v>23</v>
      </c>
      <c r="L44" s="157">
        <f t="shared" si="21"/>
        <v>0</v>
      </c>
      <c r="M44" s="157">
        <f t="shared" si="22"/>
        <v>0</v>
      </c>
      <c r="N44" s="157">
        <f t="shared" si="23"/>
        <v>0</v>
      </c>
      <c r="O44" s="157">
        <f t="shared" si="24"/>
        <v>0</v>
      </c>
      <c r="P44" s="157">
        <f t="shared" si="25"/>
        <v>0</v>
      </c>
      <c r="Q44" s="157">
        <f t="shared" si="26"/>
        <v>0</v>
      </c>
      <c r="R44" s="157">
        <f t="shared" si="27"/>
        <v>0</v>
      </c>
      <c r="S44" s="157">
        <f t="shared" si="28"/>
        <v>343.31</v>
      </c>
      <c r="T44" s="157">
        <f t="shared" si="29"/>
        <v>0</v>
      </c>
      <c r="U44" s="157">
        <f t="shared" si="30"/>
        <v>0</v>
      </c>
      <c r="V44" s="157">
        <f t="shared" si="15"/>
        <v>343.31</v>
      </c>
    </row>
    <row r="45" spans="1:22">
      <c r="A45" s="47">
        <f>'A.1_Tabla Costes Subrogación'!A45</f>
        <v>1</v>
      </c>
      <c r="B45" s="51" t="str">
        <f>'A.1_Tabla Costes Subrogación'!B45</f>
        <v xml:space="preserve"> AUXILIAR JARD.  </v>
      </c>
      <c r="C45" s="51"/>
      <c r="D45" s="51"/>
      <c r="E45" s="151">
        <f>'A.1_Tabla Costes Subrogación'!E45</f>
        <v>38932</v>
      </c>
      <c r="F45" s="152">
        <f t="shared" si="16"/>
        <v>2006</v>
      </c>
      <c r="G45" s="153">
        <f t="shared" ref="G45:I64" si="31">G$4</f>
        <v>2025</v>
      </c>
      <c r="H45" s="153">
        <f t="shared" si="17"/>
        <v>19</v>
      </c>
      <c r="I45" s="153">
        <f t="shared" si="31"/>
        <v>2033</v>
      </c>
      <c r="J45" s="153">
        <f t="shared" si="18"/>
        <v>27</v>
      </c>
      <c r="K45" s="153">
        <f t="shared" si="19"/>
        <v>23</v>
      </c>
      <c r="L45" s="157">
        <f t="shared" si="21"/>
        <v>0</v>
      </c>
      <c r="M45" s="157">
        <f t="shared" si="22"/>
        <v>0</v>
      </c>
      <c r="N45" s="157">
        <f t="shared" si="23"/>
        <v>0</v>
      </c>
      <c r="O45" s="157">
        <f t="shared" si="24"/>
        <v>0</v>
      </c>
      <c r="P45" s="157">
        <f t="shared" si="25"/>
        <v>0</v>
      </c>
      <c r="Q45" s="157">
        <f t="shared" si="26"/>
        <v>0</v>
      </c>
      <c r="R45" s="157">
        <f t="shared" si="27"/>
        <v>0</v>
      </c>
      <c r="S45" s="157">
        <f t="shared" si="28"/>
        <v>343.31</v>
      </c>
      <c r="T45" s="157">
        <f t="shared" si="29"/>
        <v>0</v>
      </c>
      <c r="U45" s="157">
        <f t="shared" si="30"/>
        <v>0</v>
      </c>
      <c r="V45" s="157">
        <f t="shared" si="15"/>
        <v>343.31</v>
      </c>
    </row>
    <row r="46" spans="1:22">
      <c r="A46" s="47">
        <f>'A.1_Tabla Costes Subrogación'!A46</f>
        <v>1</v>
      </c>
      <c r="B46" s="51" t="str">
        <f>'A.1_Tabla Costes Subrogación'!B46</f>
        <v xml:space="preserve"> AUXILIAR JARD.  </v>
      </c>
      <c r="C46" s="51"/>
      <c r="D46" s="51"/>
      <c r="E46" s="151">
        <f>'A.1_Tabla Costes Subrogación'!E46</f>
        <v>38749</v>
      </c>
      <c r="F46" s="152">
        <f t="shared" si="16"/>
        <v>2006</v>
      </c>
      <c r="G46" s="153">
        <f t="shared" si="31"/>
        <v>2025</v>
      </c>
      <c r="H46" s="153">
        <f t="shared" si="17"/>
        <v>19</v>
      </c>
      <c r="I46" s="153">
        <f t="shared" si="31"/>
        <v>2033</v>
      </c>
      <c r="J46" s="153">
        <f t="shared" si="18"/>
        <v>27</v>
      </c>
      <c r="K46" s="153">
        <f t="shared" si="19"/>
        <v>23</v>
      </c>
      <c r="L46" s="157">
        <f t="shared" si="21"/>
        <v>0</v>
      </c>
      <c r="M46" s="157">
        <f t="shared" si="22"/>
        <v>0</v>
      </c>
      <c r="N46" s="157">
        <f t="shared" si="23"/>
        <v>0</v>
      </c>
      <c r="O46" s="157">
        <f t="shared" si="24"/>
        <v>0</v>
      </c>
      <c r="P46" s="157">
        <f t="shared" si="25"/>
        <v>0</v>
      </c>
      <c r="Q46" s="157">
        <f t="shared" si="26"/>
        <v>0</v>
      </c>
      <c r="R46" s="157">
        <f t="shared" si="27"/>
        <v>0</v>
      </c>
      <c r="S46" s="157">
        <f t="shared" si="28"/>
        <v>343.31</v>
      </c>
      <c r="T46" s="157">
        <f t="shared" si="29"/>
        <v>0</v>
      </c>
      <c r="U46" s="157">
        <f t="shared" si="30"/>
        <v>0</v>
      </c>
      <c r="V46" s="157">
        <f t="shared" si="15"/>
        <v>343.31</v>
      </c>
    </row>
    <row r="47" spans="1:22">
      <c r="A47" s="47">
        <f>'A.1_Tabla Costes Subrogación'!A47</f>
        <v>1</v>
      </c>
      <c r="B47" s="51" t="str">
        <f>'A.1_Tabla Costes Subrogación'!B47</f>
        <v xml:space="preserve"> AUXILIAR JARD.  </v>
      </c>
      <c r="C47" s="51"/>
      <c r="D47" s="51"/>
      <c r="E47" s="151">
        <f>'A.1_Tabla Costes Subrogación'!E47</f>
        <v>38749</v>
      </c>
      <c r="F47" s="152">
        <f t="shared" si="16"/>
        <v>2006</v>
      </c>
      <c r="G47" s="153">
        <f t="shared" si="31"/>
        <v>2025</v>
      </c>
      <c r="H47" s="153">
        <f t="shared" si="17"/>
        <v>19</v>
      </c>
      <c r="I47" s="153">
        <f t="shared" si="31"/>
        <v>2033</v>
      </c>
      <c r="J47" s="153">
        <f t="shared" si="18"/>
        <v>27</v>
      </c>
      <c r="K47" s="153">
        <f t="shared" si="19"/>
        <v>23</v>
      </c>
      <c r="L47" s="157">
        <f t="shared" si="21"/>
        <v>0</v>
      </c>
      <c r="M47" s="157">
        <f t="shared" si="22"/>
        <v>0</v>
      </c>
      <c r="N47" s="157">
        <f t="shared" si="23"/>
        <v>0</v>
      </c>
      <c r="O47" s="157">
        <f t="shared" si="24"/>
        <v>0</v>
      </c>
      <c r="P47" s="157">
        <f t="shared" si="25"/>
        <v>0</v>
      </c>
      <c r="Q47" s="157">
        <f t="shared" si="26"/>
        <v>0</v>
      </c>
      <c r="R47" s="157">
        <f t="shared" si="27"/>
        <v>0</v>
      </c>
      <c r="S47" s="157">
        <f t="shared" si="28"/>
        <v>343.31</v>
      </c>
      <c r="T47" s="157">
        <f t="shared" si="29"/>
        <v>0</v>
      </c>
      <c r="U47" s="157">
        <f t="shared" si="30"/>
        <v>0</v>
      </c>
      <c r="V47" s="157">
        <f t="shared" si="15"/>
        <v>343.31</v>
      </c>
    </row>
    <row r="48" spans="1:22">
      <c r="A48" s="47">
        <f>'A.1_Tabla Costes Subrogación'!A48</f>
        <v>1</v>
      </c>
      <c r="B48" s="51" t="str">
        <f>'A.1_Tabla Costes Subrogación'!B48</f>
        <v xml:space="preserve"> AUXILIAR JARD.  </v>
      </c>
      <c r="C48" s="51"/>
      <c r="D48" s="51"/>
      <c r="E48" s="151">
        <f>'A.1_Tabla Costes Subrogación'!E48</f>
        <v>38932</v>
      </c>
      <c r="F48" s="152">
        <f t="shared" si="16"/>
        <v>2006</v>
      </c>
      <c r="G48" s="153">
        <f t="shared" si="31"/>
        <v>2025</v>
      </c>
      <c r="H48" s="153">
        <f t="shared" si="17"/>
        <v>19</v>
      </c>
      <c r="I48" s="153">
        <f t="shared" si="31"/>
        <v>2033</v>
      </c>
      <c r="J48" s="153">
        <f t="shared" si="18"/>
        <v>27</v>
      </c>
      <c r="K48" s="153">
        <f t="shared" si="19"/>
        <v>23</v>
      </c>
      <c r="L48" s="157">
        <f t="shared" si="21"/>
        <v>0</v>
      </c>
      <c r="M48" s="157">
        <f t="shared" si="22"/>
        <v>0</v>
      </c>
      <c r="N48" s="157">
        <f t="shared" si="23"/>
        <v>0</v>
      </c>
      <c r="O48" s="157">
        <f t="shared" si="24"/>
        <v>0</v>
      </c>
      <c r="P48" s="157">
        <f t="shared" si="25"/>
        <v>0</v>
      </c>
      <c r="Q48" s="157">
        <f t="shared" si="26"/>
        <v>0</v>
      </c>
      <c r="R48" s="157">
        <f t="shared" si="27"/>
        <v>0</v>
      </c>
      <c r="S48" s="157">
        <f t="shared" si="28"/>
        <v>343.31</v>
      </c>
      <c r="T48" s="157">
        <f t="shared" si="29"/>
        <v>0</v>
      </c>
      <c r="U48" s="157">
        <f t="shared" si="30"/>
        <v>0</v>
      </c>
      <c r="V48" s="157">
        <f t="shared" si="15"/>
        <v>343.31</v>
      </c>
    </row>
    <row r="49" spans="1:22">
      <c r="A49" s="47">
        <f>'A.1_Tabla Costes Subrogación'!A49</f>
        <v>1</v>
      </c>
      <c r="B49" s="51" t="str">
        <f>'A.1_Tabla Costes Subrogación'!B49</f>
        <v xml:space="preserve"> AUXILIAR JARD.  </v>
      </c>
      <c r="C49" s="51"/>
      <c r="D49" s="51"/>
      <c r="E49" s="151">
        <f>'A.1_Tabla Costes Subrogación'!E49</f>
        <v>42036</v>
      </c>
      <c r="F49" s="152">
        <f t="shared" si="16"/>
        <v>2015</v>
      </c>
      <c r="G49" s="153">
        <f t="shared" si="31"/>
        <v>2025</v>
      </c>
      <c r="H49" s="153">
        <f t="shared" si="17"/>
        <v>10</v>
      </c>
      <c r="I49" s="153">
        <f t="shared" si="31"/>
        <v>2033</v>
      </c>
      <c r="J49" s="153">
        <f t="shared" si="18"/>
        <v>18</v>
      </c>
      <c r="K49" s="153">
        <f t="shared" si="19"/>
        <v>14</v>
      </c>
      <c r="L49" s="157">
        <f t="shared" si="21"/>
        <v>0</v>
      </c>
      <c r="M49" s="157">
        <f t="shared" si="22"/>
        <v>0</v>
      </c>
      <c r="N49" s="157">
        <f t="shared" si="23"/>
        <v>0</v>
      </c>
      <c r="O49" s="157">
        <f t="shared" si="24"/>
        <v>175.53</v>
      </c>
      <c r="P49" s="157">
        <f t="shared" si="25"/>
        <v>0</v>
      </c>
      <c r="Q49" s="157">
        <f t="shared" si="26"/>
        <v>0</v>
      </c>
      <c r="R49" s="157">
        <f t="shared" si="27"/>
        <v>0</v>
      </c>
      <c r="S49" s="157">
        <f t="shared" si="28"/>
        <v>0</v>
      </c>
      <c r="T49" s="157">
        <f t="shared" si="29"/>
        <v>0</v>
      </c>
      <c r="U49" s="157">
        <f t="shared" si="30"/>
        <v>0</v>
      </c>
      <c r="V49" s="157">
        <f t="shared" si="15"/>
        <v>175.53</v>
      </c>
    </row>
    <row r="50" spans="1:22">
      <c r="A50" s="47">
        <f>'A.1_Tabla Costes Subrogación'!A50</f>
        <v>1</v>
      </c>
      <c r="B50" s="51" t="str">
        <f>'A.1_Tabla Costes Subrogación'!B50</f>
        <v xml:space="preserve"> AUXILIAR JARD.  </v>
      </c>
      <c r="C50" s="51"/>
      <c r="D50" s="51"/>
      <c r="E50" s="151">
        <f>'A.1_Tabla Costes Subrogación'!E50</f>
        <v>38749</v>
      </c>
      <c r="F50" s="152">
        <f t="shared" si="16"/>
        <v>2006</v>
      </c>
      <c r="G50" s="153">
        <f t="shared" si="31"/>
        <v>2025</v>
      </c>
      <c r="H50" s="153">
        <f t="shared" si="17"/>
        <v>19</v>
      </c>
      <c r="I50" s="153">
        <f t="shared" si="31"/>
        <v>2033</v>
      </c>
      <c r="J50" s="153">
        <f t="shared" si="18"/>
        <v>27</v>
      </c>
      <c r="K50" s="153">
        <f t="shared" si="19"/>
        <v>23</v>
      </c>
      <c r="L50" s="157">
        <f t="shared" si="21"/>
        <v>0</v>
      </c>
      <c r="M50" s="157">
        <f t="shared" si="22"/>
        <v>0</v>
      </c>
      <c r="N50" s="157">
        <f t="shared" si="23"/>
        <v>0</v>
      </c>
      <c r="O50" s="157">
        <f t="shared" si="24"/>
        <v>0</v>
      </c>
      <c r="P50" s="157">
        <f t="shared" si="25"/>
        <v>0</v>
      </c>
      <c r="Q50" s="157">
        <f t="shared" si="26"/>
        <v>0</v>
      </c>
      <c r="R50" s="157">
        <f t="shared" si="27"/>
        <v>0</v>
      </c>
      <c r="S50" s="157">
        <f t="shared" si="28"/>
        <v>343.31</v>
      </c>
      <c r="T50" s="157">
        <f t="shared" si="29"/>
        <v>0</v>
      </c>
      <c r="U50" s="157">
        <f t="shared" si="30"/>
        <v>0</v>
      </c>
      <c r="V50" s="157">
        <f t="shared" si="15"/>
        <v>343.31</v>
      </c>
    </row>
    <row r="51" spans="1:22">
      <c r="A51" s="47">
        <f>'A.1_Tabla Costes Subrogación'!A51</f>
        <v>1</v>
      </c>
      <c r="B51" s="51" t="str">
        <f>'A.1_Tabla Costes Subrogación'!B51</f>
        <v xml:space="preserve"> AUXILIAR JARD.  </v>
      </c>
      <c r="C51" s="51"/>
      <c r="D51" s="51"/>
      <c r="E51" s="151">
        <f>'A.1_Tabla Costes Subrogación'!E51</f>
        <v>40250</v>
      </c>
      <c r="F51" s="152">
        <f t="shared" si="16"/>
        <v>2010</v>
      </c>
      <c r="G51" s="153">
        <f t="shared" si="31"/>
        <v>2025</v>
      </c>
      <c r="H51" s="153">
        <f t="shared" si="17"/>
        <v>15</v>
      </c>
      <c r="I51" s="153">
        <f t="shared" si="31"/>
        <v>2033</v>
      </c>
      <c r="J51" s="153">
        <f t="shared" si="18"/>
        <v>23</v>
      </c>
      <c r="K51" s="153">
        <f t="shared" si="19"/>
        <v>19</v>
      </c>
      <c r="L51" s="157">
        <f t="shared" si="21"/>
        <v>0</v>
      </c>
      <c r="M51" s="157">
        <f t="shared" si="22"/>
        <v>0</v>
      </c>
      <c r="N51" s="157">
        <f t="shared" si="23"/>
        <v>0</v>
      </c>
      <c r="O51" s="157">
        <f t="shared" si="24"/>
        <v>0</v>
      </c>
      <c r="P51" s="157">
        <f t="shared" si="25"/>
        <v>0</v>
      </c>
      <c r="Q51" s="157">
        <f t="shared" si="26"/>
        <v>264.41000000000003</v>
      </c>
      <c r="R51" s="157">
        <f t="shared" si="27"/>
        <v>0</v>
      </c>
      <c r="S51" s="157">
        <f t="shared" si="28"/>
        <v>0</v>
      </c>
      <c r="T51" s="157">
        <f t="shared" si="29"/>
        <v>0</v>
      </c>
      <c r="U51" s="157">
        <f t="shared" si="30"/>
        <v>0</v>
      </c>
      <c r="V51" s="157">
        <f t="shared" si="15"/>
        <v>264.41000000000003</v>
      </c>
    </row>
    <row r="52" spans="1:22">
      <c r="A52" s="47">
        <f>'A.1_Tabla Costes Subrogación'!A52</f>
        <v>1</v>
      </c>
      <c r="B52" s="51" t="str">
        <f>'A.1_Tabla Costes Subrogación'!B52</f>
        <v xml:space="preserve"> AUXILIAR JARD.  </v>
      </c>
      <c r="C52" s="51"/>
      <c r="D52" s="51"/>
      <c r="E52" s="151">
        <f>'A.1_Tabla Costes Subrogación'!E52</f>
        <v>39038</v>
      </c>
      <c r="F52" s="152">
        <f t="shared" si="16"/>
        <v>2006</v>
      </c>
      <c r="G52" s="153">
        <f t="shared" si="31"/>
        <v>2025</v>
      </c>
      <c r="H52" s="153">
        <f t="shared" si="17"/>
        <v>19</v>
      </c>
      <c r="I52" s="153">
        <f t="shared" si="31"/>
        <v>2033</v>
      </c>
      <c r="J52" s="153">
        <f t="shared" si="18"/>
        <v>27</v>
      </c>
      <c r="K52" s="153">
        <f t="shared" si="19"/>
        <v>23</v>
      </c>
      <c r="L52" s="157">
        <f t="shared" si="21"/>
        <v>0</v>
      </c>
      <c r="M52" s="157">
        <f t="shared" si="22"/>
        <v>0</v>
      </c>
      <c r="N52" s="157">
        <f t="shared" si="23"/>
        <v>0</v>
      </c>
      <c r="O52" s="157">
        <f t="shared" si="24"/>
        <v>0</v>
      </c>
      <c r="P52" s="157">
        <f t="shared" si="25"/>
        <v>0</v>
      </c>
      <c r="Q52" s="157">
        <f t="shared" si="26"/>
        <v>0</v>
      </c>
      <c r="R52" s="157">
        <f t="shared" si="27"/>
        <v>0</v>
      </c>
      <c r="S52" s="157">
        <f t="shared" si="28"/>
        <v>343.31</v>
      </c>
      <c r="T52" s="157">
        <f t="shared" si="29"/>
        <v>0</v>
      </c>
      <c r="U52" s="157">
        <f t="shared" si="30"/>
        <v>0</v>
      </c>
      <c r="V52" s="157">
        <f t="shared" si="15"/>
        <v>343.31</v>
      </c>
    </row>
    <row r="53" spans="1:22">
      <c r="A53" s="47">
        <f>'A.1_Tabla Costes Subrogación'!A53</f>
        <v>1</v>
      </c>
      <c r="B53" s="51" t="str">
        <f>'A.1_Tabla Costes Subrogación'!B53</f>
        <v xml:space="preserve"> AUXILIAR JARD.  </v>
      </c>
      <c r="C53" s="51"/>
      <c r="D53" s="51"/>
      <c r="E53" s="151">
        <f>'A.1_Tabla Costes Subrogación'!E53</f>
        <v>39663</v>
      </c>
      <c r="F53" s="152">
        <f t="shared" si="16"/>
        <v>2008</v>
      </c>
      <c r="G53" s="153">
        <f t="shared" si="31"/>
        <v>2025</v>
      </c>
      <c r="H53" s="153">
        <f t="shared" si="17"/>
        <v>17</v>
      </c>
      <c r="I53" s="153">
        <f t="shared" si="31"/>
        <v>2033</v>
      </c>
      <c r="J53" s="153">
        <f t="shared" si="18"/>
        <v>25</v>
      </c>
      <c r="K53" s="153">
        <f t="shared" si="19"/>
        <v>21</v>
      </c>
      <c r="L53" s="157">
        <f t="shared" si="21"/>
        <v>0</v>
      </c>
      <c r="M53" s="157">
        <f t="shared" si="22"/>
        <v>0</v>
      </c>
      <c r="N53" s="157">
        <f t="shared" si="23"/>
        <v>0</v>
      </c>
      <c r="O53" s="157">
        <f t="shared" si="24"/>
        <v>0</v>
      </c>
      <c r="P53" s="157">
        <f t="shared" si="25"/>
        <v>0</v>
      </c>
      <c r="Q53" s="157">
        <f t="shared" si="26"/>
        <v>0</v>
      </c>
      <c r="R53" s="157">
        <f t="shared" si="27"/>
        <v>280.79000000000002</v>
      </c>
      <c r="S53" s="157">
        <f t="shared" si="28"/>
        <v>0</v>
      </c>
      <c r="T53" s="157">
        <f t="shared" si="29"/>
        <v>0</v>
      </c>
      <c r="U53" s="157">
        <f t="shared" si="30"/>
        <v>0</v>
      </c>
      <c r="V53" s="157">
        <f t="shared" si="15"/>
        <v>280.79000000000002</v>
      </c>
    </row>
    <row r="54" spans="1:22">
      <c r="A54" s="47">
        <f>'A.1_Tabla Costes Subrogación'!A54</f>
        <v>1</v>
      </c>
      <c r="B54" s="51" t="str">
        <f>'A.1_Tabla Costes Subrogación'!B54</f>
        <v xml:space="preserve"> AUXILIAR JARD.  </v>
      </c>
      <c r="C54" s="51"/>
      <c r="D54" s="51"/>
      <c r="E54" s="151">
        <f>'A.1_Tabla Costes Subrogación'!E54</f>
        <v>39650</v>
      </c>
      <c r="F54" s="152">
        <f t="shared" si="16"/>
        <v>2008</v>
      </c>
      <c r="G54" s="153">
        <f t="shared" si="31"/>
        <v>2025</v>
      </c>
      <c r="H54" s="153">
        <f t="shared" si="17"/>
        <v>17</v>
      </c>
      <c r="I54" s="153">
        <f t="shared" si="31"/>
        <v>2033</v>
      </c>
      <c r="J54" s="153">
        <f t="shared" si="18"/>
        <v>25</v>
      </c>
      <c r="K54" s="153">
        <f t="shared" si="19"/>
        <v>21</v>
      </c>
      <c r="L54" s="157">
        <f t="shared" si="21"/>
        <v>0</v>
      </c>
      <c r="M54" s="157">
        <f t="shared" si="22"/>
        <v>0</v>
      </c>
      <c r="N54" s="157">
        <f t="shared" si="23"/>
        <v>0</v>
      </c>
      <c r="O54" s="157">
        <f t="shared" si="24"/>
        <v>0</v>
      </c>
      <c r="P54" s="157">
        <f t="shared" si="25"/>
        <v>0</v>
      </c>
      <c r="Q54" s="157">
        <f t="shared" si="26"/>
        <v>0</v>
      </c>
      <c r="R54" s="157">
        <f t="shared" si="27"/>
        <v>280.79000000000002</v>
      </c>
      <c r="S54" s="157">
        <f t="shared" si="28"/>
        <v>0</v>
      </c>
      <c r="T54" s="157">
        <f t="shared" si="29"/>
        <v>0</v>
      </c>
      <c r="U54" s="157">
        <f t="shared" si="30"/>
        <v>0</v>
      </c>
      <c r="V54" s="157">
        <f t="shared" si="15"/>
        <v>280.79000000000002</v>
      </c>
    </row>
    <row r="55" spans="1:22">
      <c r="A55" s="47">
        <f>'A.1_Tabla Costes Subrogación'!A55</f>
        <v>0</v>
      </c>
      <c r="B55" s="51" t="str">
        <f>'A.1_Tabla Costes Subrogación'!B55</f>
        <v xml:space="preserve"> AUXILIAR JARD.  </v>
      </c>
      <c r="C55" s="51"/>
      <c r="D55" s="51"/>
      <c r="E55" s="151">
        <f>'A.1_Tabla Costes Subrogación'!E55</f>
        <v>38749</v>
      </c>
      <c r="F55" s="152">
        <f t="shared" si="16"/>
        <v>2006</v>
      </c>
      <c r="G55" s="153">
        <f t="shared" si="31"/>
        <v>2025</v>
      </c>
      <c r="H55" s="153">
        <f t="shared" si="17"/>
        <v>19</v>
      </c>
      <c r="I55" s="153">
        <f t="shared" si="31"/>
        <v>2033</v>
      </c>
      <c r="J55" s="153">
        <f t="shared" si="18"/>
        <v>27</v>
      </c>
      <c r="K55" s="153">
        <f t="shared" si="19"/>
        <v>23</v>
      </c>
      <c r="L55" s="157">
        <f t="shared" si="21"/>
        <v>0</v>
      </c>
      <c r="M55" s="157">
        <f t="shared" si="22"/>
        <v>0</v>
      </c>
      <c r="N55" s="157">
        <f t="shared" si="23"/>
        <v>0</v>
      </c>
      <c r="O55" s="157">
        <f t="shared" si="24"/>
        <v>0</v>
      </c>
      <c r="P55" s="157">
        <f t="shared" si="25"/>
        <v>0</v>
      </c>
      <c r="Q55" s="157">
        <f t="shared" si="26"/>
        <v>0</v>
      </c>
      <c r="R55" s="157">
        <f t="shared" si="27"/>
        <v>0</v>
      </c>
      <c r="S55" s="157">
        <f t="shared" si="28"/>
        <v>343.31</v>
      </c>
      <c r="T55" s="157">
        <f t="shared" si="29"/>
        <v>0</v>
      </c>
      <c r="U55" s="157">
        <f t="shared" si="30"/>
        <v>0</v>
      </c>
      <c r="V55" s="157">
        <f t="shared" si="15"/>
        <v>0</v>
      </c>
    </row>
    <row r="56" spans="1:22">
      <c r="A56" s="47">
        <f>'A.1_Tabla Costes Subrogación'!A56</f>
        <v>0</v>
      </c>
      <c r="B56" s="51" t="str">
        <f>'A.1_Tabla Costes Subrogación'!B56</f>
        <v xml:space="preserve"> AUXILIAR JARD.  </v>
      </c>
      <c r="C56" s="51"/>
      <c r="D56" s="51"/>
      <c r="E56" s="151">
        <f>'A.1_Tabla Costes Subrogación'!E56</f>
        <v>38749</v>
      </c>
      <c r="F56" s="152">
        <f t="shared" si="16"/>
        <v>2006</v>
      </c>
      <c r="G56" s="153">
        <f t="shared" si="31"/>
        <v>2025</v>
      </c>
      <c r="H56" s="153">
        <f t="shared" si="17"/>
        <v>19</v>
      </c>
      <c r="I56" s="153">
        <f t="shared" si="31"/>
        <v>2033</v>
      </c>
      <c r="J56" s="153">
        <f t="shared" si="18"/>
        <v>27</v>
      </c>
      <c r="K56" s="153">
        <f t="shared" si="19"/>
        <v>23</v>
      </c>
      <c r="L56" s="157">
        <f t="shared" si="21"/>
        <v>0</v>
      </c>
      <c r="M56" s="157">
        <f t="shared" si="22"/>
        <v>0</v>
      </c>
      <c r="N56" s="157">
        <f t="shared" si="23"/>
        <v>0</v>
      </c>
      <c r="O56" s="157">
        <f t="shared" si="24"/>
        <v>0</v>
      </c>
      <c r="P56" s="157">
        <f t="shared" si="25"/>
        <v>0</v>
      </c>
      <c r="Q56" s="157">
        <f t="shared" si="26"/>
        <v>0</v>
      </c>
      <c r="R56" s="157">
        <f t="shared" si="27"/>
        <v>0</v>
      </c>
      <c r="S56" s="157">
        <f t="shared" si="28"/>
        <v>343.31</v>
      </c>
      <c r="T56" s="157">
        <f t="shared" si="29"/>
        <v>0</v>
      </c>
      <c r="U56" s="157">
        <f t="shared" si="30"/>
        <v>0</v>
      </c>
      <c r="V56" s="157">
        <f t="shared" si="15"/>
        <v>0</v>
      </c>
    </row>
    <row r="57" spans="1:22">
      <c r="A57" s="47">
        <f>'A.1_Tabla Costes Subrogación'!A57</f>
        <v>0</v>
      </c>
      <c r="B57" s="51" t="str">
        <f>'A.1_Tabla Costes Subrogación'!B57</f>
        <v xml:space="preserve"> AUXILIAR JARD.  </v>
      </c>
      <c r="C57" s="51"/>
      <c r="D57" s="51"/>
      <c r="E57" s="151">
        <f>'A.1_Tabla Costes Subrogación'!E57</f>
        <v>40196</v>
      </c>
      <c r="F57" s="152">
        <f t="shared" si="16"/>
        <v>2010</v>
      </c>
      <c r="G57" s="153">
        <f t="shared" si="31"/>
        <v>2025</v>
      </c>
      <c r="H57" s="153">
        <f t="shared" si="17"/>
        <v>15</v>
      </c>
      <c r="I57" s="153">
        <f t="shared" si="31"/>
        <v>2033</v>
      </c>
      <c r="J57" s="153">
        <f t="shared" si="18"/>
        <v>23</v>
      </c>
      <c r="K57" s="153">
        <f t="shared" si="19"/>
        <v>19</v>
      </c>
      <c r="L57" s="157">
        <f t="shared" si="21"/>
        <v>0</v>
      </c>
      <c r="M57" s="157">
        <f t="shared" si="22"/>
        <v>0</v>
      </c>
      <c r="N57" s="157">
        <f t="shared" si="23"/>
        <v>0</v>
      </c>
      <c r="O57" s="157">
        <f t="shared" si="24"/>
        <v>0</v>
      </c>
      <c r="P57" s="157">
        <f t="shared" si="25"/>
        <v>0</v>
      </c>
      <c r="Q57" s="157">
        <f t="shared" si="26"/>
        <v>264.41000000000003</v>
      </c>
      <c r="R57" s="157">
        <f t="shared" si="27"/>
        <v>0</v>
      </c>
      <c r="S57" s="157">
        <f t="shared" si="28"/>
        <v>0</v>
      </c>
      <c r="T57" s="157">
        <f t="shared" si="29"/>
        <v>0</v>
      </c>
      <c r="U57" s="157">
        <f t="shared" si="30"/>
        <v>0</v>
      </c>
      <c r="V57" s="157">
        <f t="shared" si="15"/>
        <v>0</v>
      </c>
    </row>
    <row r="58" spans="1:22">
      <c r="A58" s="47">
        <f>'A.1_Tabla Costes Subrogación'!A58</f>
        <v>0</v>
      </c>
      <c r="B58" s="51" t="str">
        <f>'A.1_Tabla Costes Subrogación'!B58</f>
        <v xml:space="preserve"> AUXILIAR JARD.  </v>
      </c>
      <c r="C58" s="51"/>
      <c r="D58" s="51"/>
      <c r="E58" s="151">
        <f>'A.1_Tabla Costes Subrogación'!E58</f>
        <v>39539</v>
      </c>
      <c r="F58" s="152">
        <f t="shared" si="16"/>
        <v>2008</v>
      </c>
      <c r="G58" s="153">
        <f t="shared" si="31"/>
        <v>2025</v>
      </c>
      <c r="H58" s="153">
        <f t="shared" si="17"/>
        <v>17</v>
      </c>
      <c r="I58" s="153">
        <f t="shared" si="31"/>
        <v>2033</v>
      </c>
      <c r="J58" s="153">
        <f t="shared" si="18"/>
        <v>25</v>
      </c>
      <c r="K58" s="153">
        <f t="shared" si="19"/>
        <v>21</v>
      </c>
      <c r="L58" s="157">
        <f t="shared" si="21"/>
        <v>0</v>
      </c>
      <c r="M58" s="157">
        <f t="shared" si="22"/>
        <v>0</v>
      </c>
      <c r="N58" s="157">
        <f t="shared" si="23"/>
        <v>0</v>
      </c>
      <c r="O58" s="157">
        <f t="shared" si="24"/>
        <v>0</v>
      </c>
      <c r="P58" s="157">
        <f t="shared" si="25"/>
        <v>0</v>
      </c>
      <c r="Q58" s="157">
        <f t="shared" si="26"/>
        <v>0</v>
      </c>
      <c r="R58" s="157">
        <f t="shared" si="27"/>
        <v>280.79000000000002</v>
      </c>
      <c r="S58" s="157">
        <f t="shared" si="28"/>
        <v>0</v>
      </c>
      <c r="T58" s="157">
        <f t="shared" si="29"/>
        <v>0</v>
      </c>
      <c r="U58" s="157">
        <f t="shared" si="30"/>
        <v>0</v>
      </c>
      <c r="V58" s="157">
        <f t="shared" si="15"/>
        <v>0</v>
      </c>
    </row>
    <row r="59" spans="1:22">
      <c r="A59" s="47">
        <f>'A.1_Tabla Costes Subrogación'!A59</f>
        <v>0</v>
      </c>
      <c r="B59" s="51" t="str">
        <f>'A.1_Tabla Costes Subrogación'!B59</f>
        <v xml:space="preserve"> AUXILIAR JARD.  </v>
      </c>
      <c r="C59" s="51"/>
      <c r="D59" s="51"/>
      <c r="E59" s="151">
        <f>'A.1_Tabla Costes Subrogación'!E59</f>
        <v>38749</v>
      </c>
      <c r="F59" s="152">
        <f t="shared" si="16"/>
        <v>2006</v>
      </c>
      <c r="G59" s="153">
        <f t="shared" si="31"/>
        <v>2025</v>
      </c>
      <c r="H59" s="153">
        <f t="shared" si="17"/>
        <v>19</v>
      </c>
      <c r="I59" s="153">
        <f t="shared" si="31"/>
        <v>2033</v>
      </c>
      <c r="J59" s="153">
        <f t="shared" si="18"/>
        <v>27</v>
      </c>
      <c r="K59" s="153">
        <f t="shared" si="19"/>
        <v>23</v>
      </c>
      <c r="L59" s="157">
        <f t="shared" si="21"/>
        <v>0</v>
      </c>
      <c r="M59" s="157">
        <f t="shared" si="22"/>
        <v>0</v>
      </c>
      <c r="N59" s="157">
        <f t="shared" si="23"/>
        <v>0</v>
      </c>
      <c r="O59" s="157">
        <f t="shared" si="24"/>
        <v>0</v>
      </c>
      <c r="P59" s="157">
        <f t="shared" si="25"/>
        <v>0</v>
      </c>
      <c r="Q59" s="157">
        <f t="shared" si="26"/>
        <v>0</v>
      </c>
      <c r="R59" s="157">
        <f t="shared" si="27"/>
        <v>0</v>
      </c>
      <c r="S59" s="157">
        <f t="shared" si="28"/>
        <v>343.31</v>
      </c>
      <c r="T59" s="157">
        <f t="shared" si="29"/>
        <v>0</v>
      </c>
      <c r="U59" s="157">
        <f t="shared" si="30"/>
        <v>0</v>
      </c>
      <c r="V59" s="157">
        <f t="shared" si="15"/>
        <v>0</v>
      </c>
    </row>
    <row r="60" spans="1:22">
      <c r="A60" s="47">
        <f>'A.1_Tabla Costes Subrogación'!A60</f>
        <v>0</v>
      </c>
      <c r="B60" s="51" t="str">
        <f>'A.1_Tabla Costes Subrogación'!B60</f>
        <v xml:space="preserve"> AUXILIAR JARD.  </v>
      </c>
      <c r="C60" s="51"/>
      <c r="D60" s="51"/>
      <c r="E60" s="151">
        <f>'A.1_Tabla Costes Subrogación'!E60</f>
        <v>38749</v>
      </c>
      <c r="F60" s="152">
        <f t="shared" si="16"/>
        <v>2006</v>
      </c>
      <c r="G60" s="153">
        <f t="shared" si="31"/>
        <v>2025</v>
      </c>
      <c r="H60" s="153">
        <f t="shared" si="17"/>
        <v>19</v>
      </c>
      <c r="I60" s="153">
        <f t="shared" si="31"/>
        <v>2033</v>
      </c>
      <c r="J60" s="153">
        <f t="shared" si="18"/>
        <v>27</v>
      </c>
      <c r="K60" s="153">
        <f t="shared" si="19"/>
        <v>23</v>
      </c>
      <c r="L60" s="157">
        <f t="shared" si="21"/>
        <v>0</v>
      </c>
      <c r="M60" s="157">
        <f t="shared" si="22"/>
        <v>0</v>
      </c>
      <c r="N60" s="157">
        <f t="shared" si="23"/>
        <v>0</v>
      </c>
      <c r="O60" s="157">
        <f t="shared" si="24"/>
        <v>0</v>
      </c>
      <c r="P60" s="157">
        <f t="shared" si="25"/>
        <v>0</v>
      </c>
      <c r="Q60" s="157">
        <f t="shared" si="26"/>
        <v>0</v>
      </c>
      <c r="R60" s="157">
        <f t="shared" si="27"/>
        <v>0</v>
      </c>
      <c r="S60" s="157">
        <f t="shared" si="28"/>
        <v>343.31</v>
      </c>
      <c r="T60" s="157">
        <f t="shared" si="29"/>
        <v>0</v>
      </c>
      <c r="U60" s="157">
        <f t="shared" si="30"/>
        <v>0</v>
      </c>
      <c r="V60" s="157">
        <f t="shared" si="15"/>
        <v>0</v>
      </c>
    </row>
    <row r="61" spans="1:22">
      <c r="A61" s="47">
        <f>'A.1_Tabla Costes Subrogación'!A61</f>
        <v>0</v>
      </c>
      <c r="B61" s="51" t="str">
        <f>'A.1_Tabla Costes Subrogación'!B61</f>
        <v xml:space="preserve"> AUXILIAR JARD.  </v>
      </c>
      <c r="C61" s="51"/>
      <c r="D61" s="51"/>
      <c r="E61" s="151">
        <f>'A.1_Tabla Costes Subrogación'!E61</f>
        <v>35827</v>
      </c>
      <c r="F61" s="152">
        <f t="shared" si="16"/>
        <v>1998</v>
      </c>
      <c r="G61" s="153">
        <f t="shared" si="31"/>
        <v>2025</v>
      </c>
      <c r="H61" s="153">
        <f t="shared" si="17"/>
        <v>27</v>
      </c>
      <c r="I61" s="153">
        <f t="shared" si="31"/>
        <v>2033</v>
      </c>
      <c r="J61" s="153">
        <f t="shared" si="18"/>
        <v>35</v>
      </c>
      <c r="K61" s="153">
        <f t="shared" si="19"/>
        <v>31</v>
      </c>
      <c r="L61" s="157">
        <f t="shared" si="21"/>
        <v>0</v>
      </c>
      <c r="M61" s="157">
        <f t="shared" si="22"/>
        <v>0</v>
      </c>
      <c r="N61" s="157">
        <f t="shared" si="23"/>
        <v>0</v>
      </c>
      <c r="O61" s="157">
        <f t="shared" si="24"/>
        <v>0</v>
      </c>
      <c r="P61" s="157">
        <f t="shared" si="25"/>
        <v>0</v>
      </c>
      <c r="Q61" s="157">
        <f t="shared" si="26"/>
        <v>0</v>
      </c>
      <c r="R61" s="157">
        <f t="shared" si="27"/>
        <v>0</v>
      </c>
      <c r="S61" s="157">
        <f t="shared" si="28"/>
        <v>0</v>
      </c>
      <c r="T61" s="157">
        <f t="shared" si="29"/>
        <v>0</v>
      </c>
      <c r="U61" s="157">
        <f t="shared" si="30"/>
        <v>421.15</v>
      </c>
      <c r="V61" s="157">
        <f t="shared" si="15"/>
        <v>0</v>
      </c>
    </row>
    <row r="62" spans="1:22">
      <c r="A62" s="47">
        <f>'A.1_Tabla Costes Subrogación'!A62</f>
        <v>0</v>
      </c>
      <c r="B62" s="51" t="str">
        <f>'A.1_Tabla Costes Subrogación'!B62</f>
        <v xml:space="preserve"> AUXILIAR JARD.  </v>
      </c>
      <c r="C62" s="51"/>
      <c r="D62" s="51"/>
      <c r="E62" s="151">
        <f>'A.1_Tabla Costes Subrogación'!E62</f>
        <v>38749</v>
      </c>
      <c r="F62" s="152">
        <f t="shared" si="16"/>
        <v>2006</v>
      </c>
      <c r="G62" s="153">
        <f t="shared" si="31"/>
        <v>2025</v>
      </c>
      <c r="H62" s="153">
        <f t="shared" si="17"/>
        <v>19</v>
      </c>
      <c r="I62" s="153">
        <f t="shared" si="31"/>
        <v>2033</v>
      </c>
      <c r="J62" s="153">
        <f t="shared" si="18"/>
        <v>27</v>
      </c>
      <c r="K62" s="153">
        <f t="shared" si="19"/>
        <v>23</v>
      </c>
      <c r="L62" s="157">
        <f t="shared" si="21"/>
        <v>0</v>
      </c>
      <c r="M62" s="157">
        <f t="shared" si="22"/>
        <v>0</v>
      </c>
      <c r="N62" s="157">
        <f t="shared" si="23"/>
        <v>0</v>
      </c>
      <c r="O62" s="157">
        <f t="shared" si="24"/>
        <v>0</v>
      </c>
      <c r="P62" s="157">
        <f t="shared" si="25"/>
        <v>0</v>
      </c>
      <c r="Q62" s="157">
        <f t="shared" si="26"/>
        <v>0</v>
      </c>
      <c r="R62" s="157">
        <f t="shared" si="27"/>
        <v>0</v>
      </c>
      <c r="S62" s="157">
        <f t="shared" si="28"/>
        <v>343.31</v>
      </c>
      <c r="T62" s="157">
        <f t="shared" si="29"/>
        <v>0</v>
      </c>
      <c r="U62" s="157">
        <f t="shared" si="30"/>
        <v>0</v>
      </c>
      <c r="V62" s="157">
        <f t="shared" si="15"/>
        <v>0</v>
      </c>
    </row>
    <row r="63" spans="1:22">
      <c r="A63" s="47">
        <f>'A.1_Tabla Costes Subrogación'!A63</f>
        <v>0</v>
      </c>
      <c r="B63" s="51" t="str">
        <f>'A.1_Tabla Costes Subrogación'!B63</f>
        <v xml:space="preserve"> AUXILIAR JARD.  </v>
      </c>
      <c r="C63" s="51"/>
      <c r="D63" s="51"/>
      <c r="E63" s="151">
        <f>'A.1_Tabla Costes Subrogación'!E63</f>
        <v>38932</v>
      </c>
      <c r="F63" s="152">
        <f>YEAR(E63)</f>
        <v>2006</v>
      </c>
      <c r="G63" s="153">
        <f t="shared" si="31"/>
        <v>2025</v>
      </c>
      <c r="H63" s="153">
        <f>G63-F63</f>
        <v>19</v>
      </c>
      <c r="I63" s="153">
        <f t="shared" si="31"/>
        <v>2033</v>
      </c>
      <c r="J63" s="153">
        <f>I63-F63</f>
        <v>27</v>
      </c>
      <c r="K63" s="153">
        <f>(H63+J63)/2</f>
        <v>23</v>
      </c>
      <c r="L63" s="157">
        <f t="shared" si="21"/>
        <v>0</v>
      </c>
      <c r="M63" s="157">
        <f t="shared" si="22"/>
        <v>0</v>
      </c>
      <c r="N63" s="157">
        <f t="shared" si="23"/>
        <v>0</v>
      </c>
      <c r="O63" s="157">
        <f t="shared" si="24"/>
        <v>0</v>
      </c>
      <c r="P63" s="157">
        <f t="shared" si="25"/>
        <v>0</v>
      </c>
      <c r="Q63" s="157">
        <f t="shared" si="26"/>
        <v>0</v>
      </c>
      <c r="R63" s="157">
        <f t="shared" si="27"/>
        <v>0</v>
      </c>
      <c r="S63" s="157">
        <f t="shared" si="28"/>
        <v>343.31</v>
      </c>
      <c r="T63" s="157">
        <f t="shared" si="29"/>
        <v>0</v>
      </c>
      <c r="U63" s="157">
        <f t="shared" si="30"/>
        <v>0</v>
      </c>
      <c r="V63" s="157">
        <f t="shared" si="15"/>
        <v>0</v>
      </c>
    </row>
    <row r="64" spans="1:22">
      <c r="A64" s="47">
        <f>'A.1_Tabla Costes Subrogación'!A64</f>
        <v>0</v>
      </c>
      <c r="B64" s="51" t="str">
        <f>'A.1_Tabla Costes Subrogación'!B64</f>
        <v xml:space="preserve"> AUXILIAR JARD.  </v>
      </c>
      <c r="C64" s="51"/>
      <c r="D64" s="51"/>
      <c r="E64" s="151">
        <f>'A.1_Tabla Costes Subrogación'!E64</f>
        <v>38932</v>
      </c>
      <c r="F64" s="152">
        <f>YEAR(E64)</f>
        <v>2006</v>
      </c>
      <c r="G64" s="153">
        <f t="shared" si="31"/>
        <v>2025</v>
      </c>
      <c r="H64" s="153">
        <f>G64-F64</f>
        <v>19</v>
      </c>
      <c r="I64" s="153">
        <f t="shared" si="31"/>
        <v>2033</v>
      </c>
      <c r="J64" s="153">
        <f>I64-F64</f>
        <v>27</v>
      </c>
      <c r="K64" s="153">
        <f>(H64+J64)/2</f>
        <v>23</v>
      </c>
      <c r="L64" s="157">
        <f t="shared" si="21"/>
        <v>0</v>
      </c>
      <c r="M64" s="157">
        <f t="shared" si="22"/>
        <v>0</v>
      </c>
      <c r="N64" s="157">
        <f t="shared" si="23"/>
        <v>0</v>
      </c>
      <c r="O64" s="157">
        <f t="shared" si="24"/>
        <v>0</v>
      </c>
      <c r="P64" s="157">
        <f t="shared" si="25"/>
        <v>0</v>
      </c>
      <c r="Q64" s="157">
        <f t="shared" si="26"/>
        <v>0</v>
      </c>
      <c r="R64" s="157">
        <f t="shared" si="27"/>
        <v>0</v>
      </c>
      <c r="S64" s="157">
        <f t="shared" si="28"/>
        <v>343.31</v>
      </c>
      <c r="T64" s="157">
        <f t="shared" si="29"/>
        <v>0</v>
      </c>
      <c r="U64" s="157">
        <f t="shared" si="30"/>
        <v>0</v>
      </c>
      <c r="V64" s="157">
        <f t="shared" si="15"/>
        <v>0</v>
      </c>
    </row>
    <row r="65" spans="1:22">
      <c r="A65" s="154"/>
      <c r="B65" s="154"/>
      <c r="C65" s="154"/>
      <c r="D65" s="154"/>
      <c r="E65" s="154"/>
      <c r="F65" s="154"/>
      <c r="G65" s="154"/>
      <c r="H65" s="154"/>
      <c r="I65" s="154"/>
      <c r="J65" s="154"/>
      <c r="K65" s="154"/>
      <c r="L65" s="154"/>
      <c r="M65" s="154"/>
      <c r="N65" s="154"/>
      <c r="O65" s="154"/>
      <c r="P65" s="154"/>
      <c r="Q65" s="154"/>
      <c r="R65" s="154"/>
      <c r="S65" s="154"/>
      <c r="T65" s="154"/>
      <c r="U65" s="154"/>
      <c r="V65" s="154"/>
    </row>
    <row r="66" spans="1:22">
      <c r="A66" s="47">
        <f>'A.1_Tabla Costes Subrogación'!A66</f>
        <v>1</v>
      </c>
      <c r="B66" s="51" t="str">
        <f>'A.1_Tabla Costes Subrogación'!B66</f>
        <v xml:space="preserve"> JARDINERO/A</v>
      </c>
      <c r="C66" s="51"/>
      <c r="D66" s="51"/>
      <c r="E66" s="151">
        <f>'A.1_Tabla Costes Subrogación'!E66</f>
        <v>42174</v>
      </c>
      <c r="F66" s="152">
        <f>YEAR(E66)</f>
        <v>2015</v>
      </c>
      <c r="G66" s="153">
        <f t="shared" ref="G66:I90" si="32">G$4</f>
        <v>2025</v>
      </c>
      <c r="H66" s="153">
        <f t="shared" ref="H66:H90" si="33">G66-F66</f>
        <v>10</v>
      </c>
      <c r="I66" s="153">
        <f t="shared" si="32"/>
        <v>2033</v>
      </c>
      <c r="J66" s="153">
        <f t="shared" ref="J66:J90" si="34">I66-F66</f>
        <v>18</v>
      </c>
      <c r="K66" s="153">
        <f t="shared" ref="K66:K90" si="35">(H66+J66)/2</f>
        <v>14</v>
      </c>
      <c r="L66" s="157">
        <f>IF(AND(K66&gt;0,K66&lt;3),L$135,0)</f>
        <v>0</v>
      </c>
      <c r="M66" s="157">
        <f>IF(AND(K66&gt;2,K66&lt;7),M$135,0)</f>
        <v>0</v>
      </c>
      <c r="N66" s="157">
        <f>IF(AND(K66&gt;6,K66&lt;11),N$135,0)</f>
        <v>0</v>
      </c>
      <c r="O66" s="157">
        <f>IF(AND(K66&gt;10,K66&lt;15),O$135,0)</f>
        <v>175.53</v>
      </c>
      <c r="P66" s="157">
        <f>IF(AND(K66&gt;14,K66&lt;19),P$135,0)</f>
        <v>0</v>
      </c>
      <c r="Q66" s="157">
        <f>IF(AND(K66&gt;18,K66&lt;21),Q$135,0)</f>
        <v>0</v>
      </c>
      <c r="R66" s="157">
        <f>IF(AND(K66&gt;20,K66&lt;23),R$135,0)</f>
        <v>0</v>
      </c>
      <c r="S66" s="157">
        <f>IF(AND(K66&gt;22,K66&lt;25),S$135,0)</f>
        <v>0</v>
      </c>
      <c r="T66" s="157">
        <f>IF(AND(K66&gt;24,K66&lt;27),T$135,0)</f>
        <v>0</v>
      </c>
      <c r="U66" s="157">
        <f>IF(K66&gt;26,U$135,0)</f>
        <v>0</v>
      </c>
      <c r="V66" s="157">
        <f>IF(A66&gt;0,(SUM(L66:U66)),0)</f>
        <v>175.53</v>
      </c>
    </row>
    <row r="67" spans="1:22">
      <c r="A67" s="47">
        <f>'A.1_Tabla Costes Subrogación'!A67</f>
        <v>1</v>
      </c>
      <c r="B67" s="51" t="str">
        <f>'A.1_Tabla Costes Subrogación'!B67</f>
        <v xml:space="preserve"> JARDINERO/A</v>
      </c>
      <c r="C67" s="51"/>
      <c r="D67" s="51"/>
      <c r="E67" s="151">
        <f>'A.1_Tabla Costes Subrogación'!E67</f>
        <v>42174</v>
      </c>
      <c r="F67" s="152">
        <f>YEAR(E67)</f>
        <v>2015</v>
      </c>
      <c r="G67" s="153">
        <f t="shared" si="32"/>
        <v>2025</v>
      </c>
      <c r="H67" s="153">
        <f t="shared" si="33"/>
        <v>10</v>
      </c>
      <c r="I67" s="153">
        <f t="shared" si="32"/>
        <v>2033</v>
      </c>
      <c r="J67" s="153">
        <f t="shared" si="34"/>
        <v>18</v>
      </c>
      <c r="K67" s="153">
        <f t="shared" si="35"/>
        <v>14</v>
      </c>
      <c r="L67" s="157">
        <f t="shared" ref="L67:L90" si="36">IF(AND(K67&gt;0,K67&lt;3),L$135,0)</f>
        <v>0</v>
      </c>
      <c r="M67" s="157">
        <f t="shared" ref="M67:M90" si="37">IF(AND(K67&gt;2,K67&lt;7),M$135,0)</f>
        <v>0</v>
      </c>
      <c r="N67" s="157">
        <f t="shared" ref="N67:N90" si="38">IF(AND(K67&gt;6,K67&lt;11),N$135,0)</f>
        <v>0</v>
      </c>
      <c r="O67" s="157">
        <f t="shared" ref="O67:O90" si="39">IF(AND(K67&gt;10,K67&lt;15),O$135,0)</f>
        <v>175.53</v>
      </c>
      <c r="P67" s="157">
        <f t="shared" ref="P67:P90" si="40">IF(AND(K67&gt;14,K67&lt;19),P$135,0)</f>
        <v>0</v>
      </c>
      <c r="Q67" s="157">
        <f t="shared" ref="Q67:Q90" si="41">IF(AND(K67&gt;18,K67&lt;21),Q$135,0)</f>
        <v>0</v>
      </c>
      <c r="R67" s="157">
        <f t="shared" ref="R67:R90" si="42">IF(AND(K67&gt;20,K67&lt;23),R$135,0)</f>
        <v>0</v>
      </c>
      <c r="S67" s="157">
        <f t="shared" ref="S67:S90" si="43">IF(AND(K67&gt;22,K67&lt;25),S$135,0)</f>
        <v>0</v>
      </c>
      <c r="T67" s="157">
        <f t="shared" ref="T67:T90" si="44">IF(AND(K67&gt;24,K67&lt;27),T$135,0)</f>
        <v>0</v>
      </c>
      <c r="U67" s="157">
        <f t="shared" ref="U67:U90" si="45">IF(K67&gt;26,U$135,0)</f>
        <v>0</v>
      </c>
      <c r="V67" s="157">
        <f t="shared" ref="V67:V90" si="46">IF(A67&gt;0,(SUM(L67:U67)),0)</f>
        <v>175.53</v>
      </c>
    </row>
    <row r="68" spans="1:22">
      <c r="A68" s="47">
        <f>'A.1_Tabla Costes Subrogación'!A68</f>
        <v>1</v>
      </c>
      <c r="B68" s="51" t="str">
        <f>'A.1_Tabla Costes Subrogación'!B68</f>
        <v xml:space="preserve"> JARDINERO/A</v>
      </c>
      <c r="C68" s="51"/>
      <c r="D68" s="51"/>
      <c r="E68" s="151">
        <f>'A.1_Tabla Costes Subrogación'!E68</f>
        <v>43270</v>
      </c>
      <c r="F68" s="152">
        <f t="shared" ref="F68:F90" si="47">YEAR(E68)</f>
        <v>2018</v>
      </c>
      <c r="G68" s="153">
        <f t="shared" si="32"/>
        <v>2025</v>
      </c>
      <c r="H68" s="153">
        <f t="shared" si="33"/>
        <v>7</v>
      </c>
      <c r="I68" s="153">
        <f t="shared" si="32"/>
        <v>2033</v>
      </c>
      <c r="J68" s="153">
        <f t="shared" si="34"/>
        <v>15</v>
      </c>
      <c r="K68" s="153">
        <f t="shared" si="35"/>
        <v>11</v>
      </c>
      <c r="L68" s="157">
        <f t="shared" si="36"/>
        <v>0</v>
      </c>
      <c r="M68" s="157">
        <f t="shared" si="37"/>
        <v>0</v>
      </c>
      <c r="N68" s="157">
        <f t="shared" si="38"/>
        <v>0</v>
      </c>
      <c r="O68" s="157">
        <f t="shared" si="39"/>
        <v>175.53</v>
      </c>
      <c r="P68" s="157">
        <f t="shared" si="40"/>
        <v>0</v>
      </c>
      <c r="Q68" s="157">
        <f t="shared" si="41"/>
        <v>0</v>
      </c>
      <c r="R68" s="157">
        <f t="shared" si="42"/>
        <v>0</v>
      </c>
      <c r="S68" s="157">
        <f t="shared" si="43"/>
        <v>0</v>
      </c>
      <c r="T68" s="157">
        <f t="shared" si="44"/>
        <v>0</v>
      </c>
      <c r="U68" s="157">
        <f t="shared" si="45"/>
        <v>0</v>
      </c>
      <c r="V68" s="157">
        <f t="shared" si="46"/>
        <v>175.53</v>
      </c>
    </row>
    <row r="69" spans="1:22">
      <c r="A69" s="47">
        <f>'A.1_Tabla Costes Subrogación'!A69</f>
        <v>1</v>
      </c>
      <c r="B69" s="51" t="str">
        <f>'A.1_Tabla Costes Subrogación'!B69</f>
        <v xml:space="preserve"> JARDINERO/A</v>
      </c>
      <c r="C69" s="51"/>
      <c r="D69" s="51"/>
      <c r="E69" s="151">
        <f>'A.1_Tabla Costes Subrogación'!E69</f>
        <v>38749</v>
      </c>
      <c r="F69" s="152">
        <f t="shared" si="47"/>
        <v>2006</v>
      </c>
      <c r="G69" s="153">
        <f t="shared" si="32"/>
        <v>2025</v>
      </c>
      <c r="H69" s="153">
        <f t="shared" si="33"/>
        <v>19</v>
      </c>
      <c r="I69" s="153">
        <f t="shared" si="32"/>
        <v>2033</v>
      </c>
      <c r="J69" s="153">
        <f t="shared" si="34"/>
        <v>27</v>
      </c>
      <c r="K69" s="153">
        <f t="shared" si="35"/>
        <v>23</v>
      </c>
      <c r="L69" s="157">
        <f t="shared" si="36"/>
        <v>0</v>
      </c>
      <c r="M69" s="157">
        <f t="shared" si="37"/>
        <v>0</v>
      </c>
      <c r="N69" s="157">
        <f t="shared" si="38"/>
        <v>0</v>
      </c>
      <c r="O69" s="157">
        <f t="shared" si="39"/>
        <v>0</v>
      </c>
      <c r="P69" s="157">
        <f t="shared" si="40"/>
        <v>0</v>
      </c>
      <c r="Q69" s="157">
        <f t="shared" si="41"/>
        <v>0</v>
      </c>
      <c r="R69" s="157">
        <f t="shared" si="42"/>
        <v>0</v>
      </c>
      <c r="S69" s="157">
        <f t="shared" si="43"/>
        <v>343.31</v>
      </c>
      <c r="T69" s="157">
        <f t="shared" si="44"/>
        <v>0</v>
      </c>
      <c r="U69" s="157">
        <f t="shared" si="45"/>
        <v>0</v>
      </c>
      <c r="V69" s="157">
        <f t="shared" si="46"/>
        <v>343.31</v>
      </c>
    </row>
    <row r="70" spans="1:22">
      <c r="A70" s="47">
        <f>'A.1_Tabla Costes Subrogación'!A70</f>
        <v>1</v>
      </c>
      <c r="B70" s="51" t="str">
        <f>'A.1_Tabla Costes Subrogación'!B70</f>
        <v xml:space="preserve"> JARDINERO/A</v>
      </c>
      <c r="C70" s="51"/>
      <c r="D70" s="51"/>
      <c r="E70" s="151">
        <f>'A.1_Tabla Costes Subrogación'!E70</f>
        <v>38749</v>
      </c>
      <c r="F70" s="152">
        <f t="shared" si="47"/>
        <v>2006</v>
      </c>
      <c r="G70" s="153">
        <f t="shared" si="32"/>
        <v>2025</v>
      </c>
      <c r="H70" s="153">
        <f t="shared" si="33"/>
        <v>19</v>
      </c>
      <c r="I70" s="153">
        <f t="shared" si="32"/>
        <v>2033</v>
      </c>
      <c r="J70" s="153">
        <f t="shared" si="34"/>
        <v>27</v>
      </c>
      <c r="K70" s="153">
        <f t="shared" si="35"/>
        <v>23</v>
      </c>
      <c r="L70" s="157">
        <f t="shared" si="36"/>
        <v>0</v>
      </c>
      <c r="M70" s="157">
        <f t="shared" si="37"/>
        <v>0</v>
      </c>
      <c r="N70" s="157">
        <f t="shared" si="38"/>
        <v>0</v>
      </c>
      <c r="O70" s="157">
        <f t="shared" si="39"/>
        <v>0</v>
      </c>
      <c r="P70" s="157">
        <f t="shared" si="40"/>
        <v>0</v>
      </c>
      <c r="Q70" s="157">
        <f t="shared" si="41"/>
        <v>0</v>
      </c>
      <c r="R70" s="157">
        <f t="shared" si="42"/>
        <v>0</v>
      </c>
      <c r="S70" s="157">
        <f t="shared" si="43"/>
        <v>343.31</v>
      </c>
      <c r="T70" s="157">
        <f t="shared" si="44"/>
        <v>0</v>
      </c>
      <c r="U70" s="157">
        <f t="shared" si="45"/>
        <v>0</v>
      </c>
      <c r="V70" s="157">
        <f t="shared" si="46"/>
        <v>343.31</v>
      </c>
    </row>
    <row r="71" spans="1:22">
      <c r="A71" s="47">
        <f>'A.1_Tabla Costes Subrogación'!A71</f>
        <v>1</v>
      </c>
      <c r="B71" s="51" t="str">
        <f>'A.1_Tabla Costes Subrogación'!B71</f>
        <v xml:space="preserve"> JARDINERO/A</v>
      </c>
      <c r="C71" s="51"/>
      <c r="D71" s="51"/>
      <c r="E71" s="151">
        <f>'A.1_Tabla Costes Subrogación'!E71</f>
        <v>40196</v>
      </c>
      <c r="F71" s="152">
        <f t="shared" si="47"/>
        <v>2010</v>
      </c>
      <c r="G71" s="153">
        <f t="shared" si="32"/>
        <v>2025</v>
      </c>
      <c r="H71" s="153">
        <f t="shared" si="33"/>
        <v>15</v>
      </c>
      <c r="I71" s="153">
        <f t="shared" si="32"/>
        <v>2033</v>
      </c>
      <c r="J71" s="153">
        <f t="shared" si="34"/>
        <v>23</v>
      </c>
      <c r="K71" s="153">
        <f t="shared" si="35"/>
        <v>19</v>
      </c>
      <c r="L71" s="157">
        <f t="shared" si="36"/>
        <v>0</v>
      </c>
      <c r="M71" s="157">
        <f t="shared" si="37"/>
        <v>0</v>
      </c>
      <c r="N71" s="157">
        <f t="shared" si="38"/>
        <v>0</v>
      </c>
      <c r="O71" s="157">
        <f t="shared" si="39"/>
        <v>0</v>
      </c>
      <c r="P71" s="157">
        <f t="shared" si="40"/>
        <v>0</v>
      </c>
      <c r="Q71" s="157">
        <f t="shared" si="41"/>
        <v>264.41000000000003</v>
      </c>
      <c r="R71" s="157">
        <f t="shared" si="42"/>
        <v>0</v>
      </c>
      <c r="S71" s="157">
        <f t="shared" si="43"/>
        <v>0</v>
      </c>
      <c r="T71" s="157">
        <f t="shared" si="44"/>
        <v>0</v>
      </c>
      <c r="U71" s="157">
        <f t="shared" si="45"/>
        <v>0</v>
      </c>
      <c r="V71" s="157">
        <f t="shared" si="46"/>
        <v>264.41000000000003</v>
      </c>
    </row>
    <row r="72" spans="1:22">
      <c r="A72" s="47">
        <f>'A.1_Tabla Costes Subrogación'!A72</f>
        <v>1</v>
      </c>
      <c r="B72" s="51" t="str">
        <f>'A.1_Tabla Costes Subrogación'!B72</f>
        <v xml:space="preserve"> JARDINERO/A</v>
      </c>
      <c r="C72" s="51"/>
      <c r="D72" s="51"/>
      <c r="E72" s="151">
        <f>'A.1_Tabla Costes Subrogación'!E72</f>
        <v>38749</v>
      </c>
      <c r="F72" s="152">
        <f t="shared" si="47"/>
        <v>2006</v>
      </c>
      <c r="G72" s="153">
        <f t="shared" si="32"/>
        <v>2025</v>
      </c>
      <c r="H72" s="153">
        <f t="shared" si="33"/>
        <v>19</v>
      </c>
      <c r="I72" s="153">
        <f t="shared" si="32"/>
        <v>2033</v>
      </c>
      <c r="J72" s="153">
        <f t="shared" si="34"/>
        <v>27</v>
      </c>
      <c r="K72" s="153">
        <f t="shared" si="35"/>
        <v>23</v>
      </c>
      <c r="L72" s="157">
        <f t="shared" si="36"/>
        <v>0</v>
      </c>
      <c r="M72" s="157">
        <f t="shared" si="37"/>
        <v>0</v>
      </c>
      <c r="N72" s="157">
        <f t="shared" si="38"/>
        <v>0</v>
      </c>
      <c r="O72" s="157">
        <f t="shared" si="39"/>
        <v>0</v>
      </c>
      <c r="P72" s="157">
        <f t="shared" si="40"/>
        <v>0</v>
      </c>
      <c r="Q72" s="157">
        <f t="shared" si="41"/>
        <v>0</v>
      </c>
      <c r="R72" s="157">
        <f t="shared" si="42"/>
        <v>0</v>
      </c>
      <c r="S72" s="157">
        <f t="shared" si="43"/>
        <v>343.31</v>
      </c>
      <c r="T72" s="157">
        <f t="shared" si="44"/>
        <v>0</v>
      </c>
      <c r="U72" s="157">
        <f t="shared" si="45"/>
        <v>0</v>
      </c>
      <c r="V72" s="157">
        <f t="shared" si="46"/>
        <v>343.31</v>
      </c>
    </row>
    <row r="73" spans="1:22">
      <c r="A73" s="47">
        <f>'A.1_Tabla Costes Subrogación'!A73</f>
        <v>1</v>
      </c>
      <c r="B73" s="51" t="str">
        <f>'A.1_Tabla Costes Subrogación'!B73</f>
        <v xml:space="preserve"> JARDINERO/A</v>
      </c>
      <c r="C73" s="51"/>
      <c r="D73" s="51"/>
      <c r="E73" s="151">
        <f>'A.1_Tabla Costes Subrogación'!E73</f>
        <v>38749</v>
      </c>
      <c r="F73" s="152">
        <f t="shared" si="47"/>
        <v>2006</v>
      </c>
      <c r="G73" s="153">
        <f t="shared" si="32"/>
        <v>2025</v>
      </c>
      <c r="H73" s="153">
        <f t="shared" si="33"/>
        <v>19</v>
      </c>
      <c r="I73" s="153">
        <f t="shared" si="32"/>
        <v>2033</v>
      </c>
      <c r="J73" s="153">
        <f t="shared" si="34"/>
        <v>27</v>
      </c>
      <c r="K73" s="153">
        <f t="shared" si="35"/>
        <v>23</v>
      </c>
      <c r="L73" s="157">
        <f t="shared" si="36"/>
        <v>0</v>
      </c>
      <c r="M73" s="157">
        <f t="shared" si="37"/>
        <v>0</v>
      </c>
      <c r="N73" s="157">
        <f t="shared" si="38"/>
        <v>0</v>
      </c>
      <c r="O73" s="157">
        <f t="shared" si="39"/>
        <v>0</v>
      </c>
      <c r="P73" s="157">
        <f t="shared" si="40"/>
        <v>0</v>
      </c>
      <c r="Q73" s="157">
        <f t="shared" si="41"/>
        <v>0</v>
      </c>
      <c r="R73" s="157">
        <f t="shared" si="42"/>
        <v>0</v>
      </c>
      <c r="S73" s="157">
        <f t="shared" si="43"/>
        <v>343.31</v>
      </c>
      <c r="T73" s="157">
        <f t="shared" si="44"/>
        <v>0</v>
      </c>
      <c r="U73" s="157">
        <f t="shared" si="45"/>
        <v>0</v>
      </c>
      <c r="V73" s="157">
        <f t="shared" si="46"/>
        <v>343.31</v>
      </c>
    </row>
    <row r="74" spans="1:22">
      <c r="A74" s="47">
        <f>'A.1_Tabla Costes Subrogación'!A74</f>
        <v>1</v>
      </c>
      <c r="B74" s="51" t="str">
        <f>'A.1_Tabla Costes Subrogación'!B74</f>
        <v xml:space="preserve"> JARDINERO/A</v>
      </c>
      <c r="C74" s="51"/>
      <c r="D74" s="51"/>
      <c r="E74" s="151">
        <f>'A.1_Tabla Costes Subrogación'!E74</f>
        <v>35827</v>
      </c>
      <c r="F74" s="152">
        <f t="shared" si="47"/>
        <v>1998</v>
      </c>
      <c r="G74" s="153">
        <f t="shared" si="32"/>
        <v>2025</v>
      </c>
      <c r="H74" s="153">
        <f t="shared" si="33"/>
        <v>27</v>
      </c>
      <c r="I74" s="153">
        <f t="shared" si="32"/>
        <v>2033</v>
      </c>
      <c r="J74" s="153">
        <f t="shared" si="34"/>
        <v>35</v>
      </c>
      <c r="K74" s="153">
        <f t="shared" si="35"/>
        <v>31</v>
      </c>
      <c r="L74" s="157">
        <f t="shared" si="36"/>
        <v>0</v>
      </c>
      <c r="M74" s="157">
        <f t="shared" si="37"/>
        <v>0</v>
      </c>
      <c r="N74" s="157">
        <f t="shared" si="38"/>
        <v>0</v>
      </c>
      <c r="O74" s="157">
        <f t="shared" si="39"/>
        <v>0</v>
      </c>
      <c r="P74" s="157">
        <f t="shared" si="40"/>
        <v>0</v>
      </c>
      <c r="Q74" s="157">
        <f t="shared" si="41"/>
        <v>0</v>
      </c>
      <c r="R74" s="157">
        <f t="shared" si="42"/>
        <v>0</v>
      </c>
      <c r="S74" s="157">
        <f t="shared" si="43"/>
        <v>0</v>
      </c>
      <c r="T74" s="157">
        <f t="shared" si="44"/>
        <v>0</v>
      </c>
      <c r="U74" s="157">
        <f t="shared" si="45"/>
        <v>421.15</v>
      </c>
      <c r="V74" s="157">
        <f t="shared" si="46"/>
        <v>421.15</v>
      </c>
    </row>
    <row r="75" spans="1:22">
      <c r="A75" s="47">
        <f>'A.1_Tabla Costes Subrogación'!A75</f>
        <v>1</v>
      </c>
      <c r="B75" s="51" t="str">
        <f>'A.1_Tabla Costes Subrogación'!B75</f>
        <v xml:space="preserve"> JARDINERO/A</v>
      </c>
      <c r="C75" s="51"/>
      <c r="D75" s="51"/>
      <c r="E75" s="151">
        <f>'A.1_Tabla Costes Subrogación'!E75</f>
        <v>38749</v>
      </c>
      <c r="F75" s="152">
        <f t="shared" si="47"/>
        <v>2006</v>
      </c>
      <c r="G75" s="153">
        <f t="shared" si="32"/>
        <v>2025</v>
      </c>
      <c r="H75" s="153">
        <f t="shared" si="33"/>
        <v>19</v>
      </c>
      <c r="I75" s="153">
        <f t="shared" si="32"/>
        <v>2033</v>
      </c>
      <c r="J75" s="153">
        <f t="shared" si="34"/>
        <v>27</v>
      </c>
      <c r="K75" s="153">
        <f t="shared" si="35"/>
        <v>23</v>
      </c>
      <c r="L75" s="157">
        <f t="shared" si="36"/>
        <v>0</v>
      </c>
      <c r="M75" s="157">
        <f t="shared" si="37"/>
        <v>0</v>
      </c>
      <c r="N75" s="157">
        <f t="shared" si="38"/>
        <v>0</v>
      </c>
      <c r="O75" s="157">
        <f t="shared" si="39"/>
        <v>0</v>
      </c>
      <c r="P75" s="157">
        <f t="shared" si="40"/>
        <v>0</v>
      </c>
      <c r="Q75" s="157">
        <f t="shared" si="41"/>
        <v>0</v>
      </c>
      <c r="R75" s="157">
        <f t="shared" si="42"/>
        <v>0</v>
      </c>
      <c r="S75" s="157">
        <f t="shared" si="43"/>
        <v>343.31</v>
      </c>
      <c r="T75" s="157">
        <f t="shared" si="44"/>
        <v>0</v>
      </c>
      <c r="U75" s="157">
        <f t="shared" si="45"/>
        <v>0</v>
      </c>
      <c r="V75" s="157">
        <f t="shared" si="46"/>
        <v>343.31</v>
      </c>
    </row>
    <row r="76" spans="1:22">
      <c r="A76" s="47">
        <f>'A.1_Tabla Costes Subrogación'!A76</f>
        <v>1</v>
      </c>
      <c r="B76" s="51" t="str">
        <f>'A.1_Tabla Costes Subrogación'!B76</f>
        <v xml:space="preserve"> JARDINERO/A</v>
      </c>
      <c r="C76" s="51"/>
      <c r="D76" s="51"/>
      <c r="E76" s="151">
        <f>'A.1_Tabla Costes Subrogación'!E76</f>
        <v>38932</v>
      </c>
      <c r="F76" s="152">
        <f t="shared" si="47"/>
        <v>2006</v>
      </c>
      <c r="G76" s="153">
        <f t="shared" si="32"/>
        <v>2025</v>
      </c>
      <c r="H76" s="153">
        <f t="shared" si="33"/>
        <v>19</v>
      </c>
      <c r="I76" s="153">
        <f t="shared" si="32"/>
        <v>2033</v>
      </c>
      <c r="J76" s="153">
        <f t="shared" si="34"/>
        <v>27</v>
      </c>
      <c r="K76" s="153">
        <f t="shared" si="35"/>
        <v>23</v>
      </c>
      <c r="L76" s="157">
        <f t="shared" si="36"/>
        <v>0</v>
      </c>
      <c r="M76" s="157">
        <f t="shared" si="37"/>
        <v>0</v>
      </c>
      <c r="N76" s="157">
        <f t="shared" si="38"/>
        <v>0</v>
      </c>
      <c r="O76" s="157">
        <f t="shared" si="39"/>
        <v>0</v>
      </c>
      <c r="P76" s="157">
        <f t="shared" si="40"/>
        <v>0</v>
      </c>
      <c r="Q76" s="157">
        <f t="shared" si="41"/>
        <v>0</v>
      </c>
      <c r="R76" s="157">
        <f t="shared" si="42"/>
        <v>0</v>
      </c>
      <c r="S76" s="157">
        <f t="shared" si="43"/>
        <v>343.31</v>
      </c>
      <c r="T76" s="157">
        <f t="shared" si="44"/>
        <v>0</v>
      </c>
      <c r="U76" s="157">
        <f t="shared" si="45"/>
        <v>0</v>
      </c>
      <c r="V76" s="157">
        <f t="shared" si="46"/>
        <v>343.31</v>
      </c>
    </row>
    <row r="77" spans="1:22">
      <c r="A77" s="47">
        <f>'A.1_Tabla Costes Subrogación'!A77</f>
        <v>1</v>
      </c>
      <c r="B77" s="51" t="str">
        <f>'A.1_Tabla Costes Subrogación'!B77</f>
        <v xml:space="preserve"> JARDINERO/A</v>
      </c>
      <c r="C77" s="51"/>
      <c r="D77" s="51"/>
      <c r="E77" s="151">
        <f>'A.1_Tabla Costes Subrogación'!E77</f>
        <v>38932</v>
      </c>
      <c r="F77" s="152">
        <f t="shared" si="47"/>
        <v>2006</v>
      </c>
      <c r="G77" s="153">
        <f t="shared" si="32"/>
        <v>2025</v>
      </c>
      <c r="H77" s="153">
        <f t="shared" si="33"/>
        <v>19</v>
      </c>
      <c r="I77" s="153">
        <f t="shared" si="32"/>
        <v>2033</v>
      </c>
      <c r="J77" s="153">
        <f t="shared" si="34"/>
        <v>27</v>
      </c>
      <c r="K77" s="153">
        <f t="shared" si="35"/>
        <v>23</v>
      </c>
      <c r="L77" s="157">
        <f t="shared" si="36"/>
        <v>0</v>
      </c>
      <c r="M77" s="157">
        <f t="shared" si="37"/>
        <v>0</v>
      </c>
      <c r="N77" s="157">
        <f t="shared" si="38"/>
        <v>0</v>
      </c>
      <c r="O77" s="157">
        <f t="shared" si="39"/>
        <v>0</v>
      </c>
      <c r="P77" s="157">
        <f t="shared" si="40"/>
        <v>0</v>
      </c>
      <c r="Q77" s="157">
        <f t="shared" si="41"/>
        <v>0</v>
      </c>
      <c r="R77" s="157">
        <f t="shared" si="42"/>
        <v>0</v>
      </c>
      <c r="S77" s="157">
        <f t="shared" si="43"/>
        <v>343.31</v>
      </c>
      <c r="T77" s="157">
        <f t="shared" si="44"/>
        <v>0</v>
      </c>
      <c r="U77" s="157">
        <f t="shared" si="45"/>
        <v>0</v>
      </c>
      <c r="V77" s="157">
        <f t="shared" si="46"/>
        <v>343.31</v>
      </c>
    </row>
    <row r="78" spans="1:22">
      <c r="A78" s="47">
        <f>'A.1_Tabla Costes Subrogación'!A78</f>
        <v>1</v>
      </c>
      <c r="B78" s="51" t="str">
        <f>'A.1_Tabla Costes Subrogación'!B78</f>
        <v xml:space="preserve"> JARDINERO/A</v>
      </c>
      <c r="C78" s="51"/>
      <c r="D78" s="51"/>
      <c r="E78" s="151">
        <f>'A.1_Tabla Costes Subrogación'!E78</f>
        <v>39650</v>
      </c>
      <c r="F78" s="152">
        <f t="shared" si="47"/>
        <v>2008</v>
      </c>
      <c r="G78" s="153">
        <f t="shared" si="32"/>
        <v>2025</v>
      </c>
      <c r="H78" s="153">
        <f t="shared" si="33"/>
        <v>17</v>
      </c>
      <c r="I78" s="153">
        <f t="shared" si="32"/>
        <v>2033</v>
      </c>
      <c r="J78" s="153">
        <f t="shared" si="34"/>
        <v>25</v>
      </c>
      <c r="K78" s="153">
        <f t="shared" si="35"/>
        <v>21</v>
      </c>
      <c r="L78" s="157">
        <f t="shared" si="36"/>
        <v>0</v>
      </c>
      <c r="M78" s="157">
        <f t="shared" si="37"/>
        <v>0</v>
      </c>
      <c r="N78" s="157">
        <f t="shared" si="38"/>
        <v>0</v>
      </c>
      <c r="O78" s="157">
        <f t="shared" si="39"/>
        <v>0</v>
      </c>
      <c r="P78" s="157">
        <f t="shared" si="40"/>
        <v>0</v>
      </c>
      <c r="Q78" s="157">
        <f t="shared" si="41"/>
        <v>0</v>
      </c>
      <c r="R78" s="157">
        <f t="shared" si="42"/>
        <v>280.79000000000002</v>
      </c>
      <c r="S78" s="157">
        <f t="shared" si="43"/>
        <v>0</v>
      </c>
      <c r="T78" s="157">
        <f t="shared" si="44"/>
        <v>0</v>
      </c>
      <c r="U78" s="157">
        <f t="shared" si="45"/>
        <v>0</v>
      </c>
      <c r="V78" s="157">
        <f t="shared" si="46"/>
        <v>280.79000000000002</v>
      </c>
    </row>
    <row r="79" spans="1:22">
      <c r="A79" s="47">
        <f>'A.1_Tabla Costes Subrogación'!A79</f>
        <v>1</v>
      </c>
      <c r="B79" s="51" t="str">
        <f>'A.1_Tabla Costes Subrogación'!B79</f>
        <v xml:space="preserve"> JARDINERO/A</v>
      </c>
      <c r="C79" s="51"/>
      <c r="D79" s="51"/>
      <c r="E79" s="151">
        <f>'A.1_Tabla Costes Subrogación'!E79</f>
        <v>38749</v>
      </c>
      <c r="F79" s="152">
        <f t="shared" si="47"/>
        <v>2006</v>
      </c>
      <c r="G79" s="153">
        <f t="shared" si="32"/>
        <v>2025</v>
      </c>
      <c r="H79" s="153">
        <f t="shared" si="33"/>
        <v>19</v>
      </c>
      <c r="I79" s="153">
        <f t="shared" si="32"/>
        <v>2033</v>
      </c>
      <c r="J79" s="153">
        <f t="shared" si="34"/>
        <v>27</v>
      </c>
      <c r="K79" s="153">
        <f t="shared" si="35"/>
        <v>23</v>
      </c>
      <c r="L79" s="157">
        <f t="shared" si="36"/>
        <v>0</v>
      </c>
      <c r="M79" s="157">
        <f t="shared" si="37"/>
        <v>0</v>
      </c>
      <c r="N79" s="157">
        <f t="shared" si="38"/>
        <v>0</v>
      </c>
      <c r="O79" s="157">
        <f t="shared" si="39"/>
        <v>0</v>
      </c>
      <c r="P79" s="157">
        <f t="shared" si="40"/>
        <v>0</v>
      </c>
      <c r="Q79" s="157">
        <f t="shared" si="41"/>
        <v>0</v>
      </c>
      <c r="R79" s="157">
        <f t="shared" si="42"/>
        <v>0</v>
      </c>
      <c r="S79" s="157">
        <f t="shared" si="43"/>
        <v>343.31</v>
      </c>
      <c r="T79" s="157">
        <f t="shared" si="44"/>
        <v>0</v>
      </c>
      <c r="U79" s="157">
        <f t="shared" si="45"/>
        <v>0</v>
      </c>
      <c r="V79" s="157">
        <f t="shared" si="46"/>
        <v>343.31</v>
      </c>
    </row>
    <row r="80" spans="1:22">
      <c r="A80" s="47">
        <f>'A.1_Tabla Costes Subrogación'!A80</f>
        <v>1</v>
      </c>
      <c r="B80" s="51" t="str">
        <f>'A.1_Tabla Costes Subrogación'!B80</f>
        <v xml:space="preserve"> JARDINERO/A</v>
      </c>
      <c r="C80" s="51"/>
      <c r="D80" s="51"/>
      <c r="E80" s="151">
        <f>'A.1_Tabla Costes Subrogación'!E80</f>
        <v>38749</v>
      </c>
      <c r="F80" s="152">
        <f t="shared" si="47"/>
        <v>2006</v>
      </c>
      <c r="G80" s="153">
        <f t="shared" si="32"/>
        <v>2025</v>
      </c>
      <c r="H80" s="153">
        <f t="shared" si="33"/>
        <v>19</v>
      </c>
      <c r="I80" s="153">
        <f t="shared" si="32"/>
        <v>2033</v>
      </c>
      <c r="J80" s="153">
        <f t="shared" si="34"/>
        <v>27</v>
      </c>
      <c r="K80" s="153">
        <f t="shared" si="35"/>
        <v>23</v>
      </c>
      <c r="L80" s="157">
        <f t="shared" si="36"/>
        <v>0</v>
      </c>
      <c r="M80" s="157">
        <f t="shared" si="37"/>
        <v>0</v>
      </c>
      <c r="N80" s="157">
        <f t="shared" si="38"/>
        <v>0</v>
      </c>
      <c r="O80" s="157">
        <f t="shared" si="39"/>
        <v>0</v>
      </c>
      <c r="P80" s="157">
        <f t="shared" si="40"/>
        <v>0</v>
      </c>
      <c r="Q80" s="157">
        <f t="shared" si="41"/>
        <v>0</v>
      </c>
      <c r="R80" s="157">
        <f t="shared" si="42"/>
        <v>0</v>
      </c>
      <c r="S80" s="157">
        <f t="shared" si="43"/>
        <v>343.31</v>
      </c>
      <c r="T80" s="157">
        <f t="shared" si="44"/>
        <v>0</v>
      </c>
      <c r="U80" s="157">
        <f t="shared" si="45"/>
        <v>0</v>
      </c>
      <c r="V80" s="157">
        <f t="shared" si="46"/>
        <v>343.31</v>
      </c>
    </row>
    <row r="81" spans="1:22">
      <c r="A81" s="47">
        <f>'A.1_Tabla Costes Subrogación'!A81</f>
        <v>1</v>
      </c>
      <c r="B81" s="51" t="str">
        <f>'A.1_Tabla Costes Subrogación'!B81</f>
        <v xml:space="preserve"> JARDINERO/A</v>
      </c>
      <c r="C81" s="51"/>
      <c r="D81" s="51"/>
      <c r="E81" s="151">
        <f>'A.1_Tabla Costes Subrogación'!E81</f>
        <v>40196</v>
      </c>
      <c r="F81" s="152">
        <f t="shared" si="47"/>
        <v>2010</v>
      </c>
      <c r="G81" s="153">
        <f t="shared" si="32"/>
        <v>2025</v>
      </c>
      <c r="H81" s="153">
        <f t="shared" si="33"/>
        <v>15</v>
      </c>
      <c r="I81" s="153">
        <f t="shared" si="32"/>
        <v>2033</v>
      </c>
      <c r="J81" s="153">
        <f t="shared" si="34"/>
        <v>23</v>
      </c>
      <c r="K81" s="153">
        <f t="shared" si="35"/>
        <v>19</v>
      </c>
      <c r="L81" s="157">
        <f t="shared" si="36"/>
        <v>0</v>
      </c>
      <c r="M81" s="157">
        <f t="shared" si="37"/>
        <v>0</v>
      </c>
      <c r="N81" s="157">
        <f t="shared" si="38"/>
        <v>0</v>
      </c>
      <c r="O81" s="157">
        <f t="shared" si="39"/>
        <v>0</v>
      </c>
      <c r="P81" s="157">
        <f t="shared" si="40"/>
        <v>0</v>
      </c>
      <c r="Q81" s="157">
        <f t="shared" si="41"/>
        <v>264.41000000000003</v>
      </c>
      <c r="R81" s="157">
        <f t="shared" si="42"/>
        <v>0</v>
      </c>
      <c r="S81" s="157">
        <f t="shared" si="43"/>
        <v>0</v>
      </c>
      <c r="T81" s="157">
        <f t="shared" si="44"/>
        <v>0</v>
      </c>
      <c r="U81" s="157">
        <f t="shared" si="45"/>
        <v>0</v>
      </c>
      <c r="V81" s="157">
        <f t="shared" si="46"/>
        <v>264.41000000000003</v>
      </c>
    </row>
    <row r="82" spans="1:22">
      <c r="A82" s="47">
        <f>'A.1_Tabla Costes Subrogación'!A82</f>
        <v>1</v>
      </c>
      <c r="B82" s="51" t="str">
        <f>'A.1_Tabla Costes Subrogación'!B82</f>
        <v xml:space="preserve"> JARDINERO/A</v>
      </c>
      <c r="C82" s="51"/>
      <c r="D82" s="51"/>
      <c r="E82" s="151">
        <f>'A.1_Tabla Costes Subrogación'!E82</f>
        <v>38749</v>
      </c>
      <c r="F82" s="152">
        <f t="shared" si="47"/>
        <v>2006</v>
      </c>
      <c r="G82" s="153">
        <f t="shared" si="32"/>
        <v>2025</v>
      </c>
      <c r="H82" s="153">
        <f t="shared" si="33"/>
        <v>19</v>
      </c>
      <c r="I82" s="153">
        <f t="shared" si="32"/>
        <v>2033</v>
      </c>
      <c r="J82" s="153">
        <f t="shared" si="34"/>
        <v>27</v>
      </c>
      <c r="K82" s="153">
        <f t="shared" si="35"/>
        <v>23</v>
      </c>
      <c r="L82" s="157">
        <f t="shared" si="36"/>
        <v>0</v>
      </c>
      <c r="M82" s="157">
        <f t="shared" si="37"/>
        <v>0</v>
      </c>
      <c r="N82" s="157">
        <f t="shared" si="38"/>
        <v>0</v>
      </c>
      <c r="O82" s="157">
        <f t="shared" si="39"/>
        <v>0</v>
      </c>
      <c r="P82" s="157">
        <f t="shared" si="40"/>
        <v>0</v>
      </c>
      <c r="Q82" s="157">
        <f t="shared" si="41"/>
        <v>0</v>
      </c>
      <c r="R82" s="157">
        <f t="shared" si="42"/>
        <v>0</v>
      </c>
      <c r="S82" s="157">
        <f t="shared" si="43"/>
        <v>343.31</v>
      </c>
      <c r="T82" s="157">
        <f t="shared" si="44"/>
        <v>0</v>
      </c>
      <c r="U82" s="157">
        <f t="shared" si="45"/>
        <v>0</v>
      </c>
      <c r="V82" s="157">
        <f t="shared" si="46"/>
        <v>343.31</v>
      </c>
    </row>
    <row r="83" spans="1:22">
      <c r="A83" s="47">
        <f>'A.1_Tabla Costes Subrogación'!A83</f>
        <v>1</v>
      </c>
      <c r="B83" s="51" t="str">
        <f>'A.1_Tabla Costes Subrogación'!B83</f>
        <v xml:space="preserve"> JARDINERO/A</v>
      </c>
      <c r="C83" s="51"/>
      <c r="D83" s="51"/>
      <c r="E83" s="151">
        <f>'A.1_Tabla Costes Subrogación'!E83</f>
        <v>35827</v>
      </c>
      <c r="F83" s="152">
        <f t="shared" si="47"/>
        <v>1998</v>
      </c>
      <c r="G83" s="153">
        <f t="shared" si="32"/>
        <v>2025</v>
      </c>
      <c r="H83" s="153">
        <f t="shared" si="33"/>
        <v>27</v>
      </c>
      <c r="I83" s="153">
        <f t="shared" si="32"/>
        <v>2033</v>
      </c>
      <c r="J83" s="153">
        <f t="shared" si="34"/>
        <v>35</v>
      </c>
      <c r="K83" s="153">
        <f t="shared" si="35"/>
        <v>31</v>
      </c>
      <c r="L83" s="157">
        <f t="shared" si="36"/>
        <v>0</v>
      </c>
      <c r="M83" s="157">
        <f t="shared" si="37"/>
        <v>0</v>
      </c>
      <c r="N83" s="157">
        <f t="shared" si="38"/>
        <v>0</v>
      </c>
      <c r="O83" s="157">
        <f t="shared" si="39"/>
        <v>0</v>
      </c>
      <c r="P83" s="157">
        <f t="shared" si="40"/>
        <v>0</v>
      </c>
      <c r="Q83" s="157">
        <f t="shared" si="41"/>
        <v>0</v>
      </c>
      <c r="R83" s="157">
        <f t="shared" si="42"/>
        <v>0</v>
      </c>
      <c r="S83" s="157">
        <f t="shared" si="43"/>
        <v>0</v>
      </c>
      <c r="T83" s="157">
        <f t="shared" si="44"/>
        <v>0</v>
      </c>
      <c r="U83" s="157">
        <f t="shared" si="45"/>
        <v>421.15</v>
      </c>
      <c r="V83" s="157">
        <f t="shared" si="46"/>
        <v>421.15</v>
      </c>
    </row>
    <row r="84" spans="1:22">
      <c r="A84" s="47">
        <f>'A.1_Tabla Costes Subrogación'!A84</f>
        <v>0</v>
      </c>
      <c r="B84" s="51" t="str">
        <f>'A.1_Tabla Costes Subrogación'!B84</f>
        <v xml:space="preserve"> JARDINERO/A</v>
      </c>
      <c r="C84" s="51"/>
      <c r="D84" s="51"/>
      <c r="E84" s="151">
        <f>'A.1_Tabla Costes Subrogación'!E84</f>
        <v>38749</v>
      </c>
      <c r="F84" s="152">
        <f t="shared" si="47"/>
        <v>2006</v>
      </c>
      <c r="G84" s="153">
        <f t="shared" si="32"/>
        <v>2025</v>
      </c>
      <c r="H84" s="153">
        <f t="shared" si="33"/>
        <v>19</v>
      </c>
      <c r="I84" s="153">
        <f t="shared" si="32"/>
        <v>2033</v>
      </c>
      <c r="J84" s="153">
        <f t="shared" si="34"/>
        <v>27</v>
      </c>
      <c r="K84" s="153">
        <f t="shared" si="35"/>
        <v>23</v>
      </c>
      <c r="L84" s="157">
        <f t="shared" si="36"/>
        <v>0</v>
      </c>
      <c r="M84" s="157">
        <f t="shared" si="37"/>
        <v>0</v>
      </c>
      <c r="N84" s="157">
        <f t="shared" si="38"/>
        <v>0</v>
      </c>
      <c r="O84" s="157">
        <f t="shared" si="39"/>
        <v>0</v>
      </c>
      <c r="P84" s="157">
        <f t="shared" si="40"/>
        <v>0</v>
      </c>
      <c r="Q84" s="157">
        <f t="shared" si="41"/>
        <v>0</v>
      </c>
      <c r="R84" s="157">
        <f t="shared" si="42"/>
        <v>0</v>
      </c>
      <c r="S84" s="157">
        <f t="shared" si="43"/>
        <v>343.31</v>
      </c>
      <c r="T84" s="157">
        <f t="shared" si="44"/>
        <v>0</v>
      </c>
      <c r="U84" s="157">
        <f t="shared" si="45"/>
        <v>0</v>
      </c>
      <c r="V84" s="157">
        <f t="shared" si="46"/>
        <v>0</v>
      </c>
    </row>
    <row r="85" spans="1:22">
      <c r="A85" s="47">
        <f>'A.1_Tabla Costes Subrogación'!A85</f>
        <v>0</v>
      </c>
      <c r="B85" s="51" t="str">
        <f>'A.1_Tabla Costes Subrogación'!B85</f>
        <v xml:space="preserve"> JARDINERO/A</v>
      </c>
      <c r="C85" s="51"/>
      <c r="D85" s="51"/>
      <c r="E85" s="151">
        <f>'A.1_Tabla Costes Subrogación'!E85</f>
        <v>38932</v>
      </c>
      <c r="F85" s="152">
        <f t="shared" si="47"/>
        <v>2006</v>
      </c>
      <c r="G85" s="153">
        <f t="shared" si="32"/>
        <v>2025</v>
      </c>
      <c r="H85" s="153">
        <f t="shared" si="33"/>
        <v>19</v>
      </c>
      <c r="I85" s="153">
        <f t="shared" si="32"/>
        <v>2033</v>
      </c>
      <c r="J85" s="153">
        <f t="shared" si="34"/>
        <v>27</v>
      </c>
      <c r="K85" s="153">
        <f t="shared" si="35"/>
        <v>23</v>
      </c>
      <c r="L85" s="157">
        <f t="shared" si="36"/>
        <v>0</v>
      </c>
      <c r="M85" s="157">
        <f t="shared" si="37"/>
        <v>0</v>
      </c>
      <c r="N85" s="157">
        <f t="shared" si="38"/>
        <v>0</v>
      </c>
      <c r="O85" s="157">
        <f t="shared" si="39"/>
        <v>0</v>
      </c>
      <c r="P85" s="157">
        <f t="shared" si="40"/>
        <v>0</v>
      </c>
      <c r="Q85" s="157">
        <f t="shared" si="41"/>
        <v>0</v>
      </c>
      <c r="R85" s="157">
        <f t="shared" si="42"/>
        <v>0</v>
      </c>
      <c r="S85" s="157">
        <f t="shared" si="43"/>
        <v>343.31</v>
      </c>
      <c r="T85" s="157">
        <f t="shared" si="44"/>
        <v>0</v>
      </c>
      <c r="U85" s="157">
        <f t="shared" si="45"/>
        <v>0</v>
      </c>
      <c r="V85" s="157">
        <f t="shared" si="46"/>
        <v>0</v>
      </c>
    </row>
    <row r="86" spans="1:22">
      <c r="A86" s="47">
        <f>'A.1_Tabla Costes Subrogación'!A86</f>
        <v>0</v>
      </c>
      <c r="B86" s="51" t="str">
        <f>'A.1_Tabla Costes Subrogación'!B86</f>
        <v xml:space="preserve"> JARDINERO/A</v>
      </c>
      <c r="C86" s="51"/>
      <c r="D86" s="51"/>
      <c r="E86" s="151">
        <f>'A.1_Tabla Costes Subrogación'!E86</f>
        <v>38749</v>
      </c>
      <c r="F86" s="152">
        <f t="shared" si="47"/>
        <v>2006</v>
      </c>
      <c r="G86" s="153">
        <f t="shared" si="32"/>
        <v>2025</v>
      </c>
      <c r="H86" s="153">
        <f t="shared" si="33"/>
        <v>19</v>
      </c>
      <c r="I86" s="153">
        <f t="shared" si="32"/>
        <v>2033</v>
      </c>
      <c r="J86" s="153">
        <f t="shared" si="34"/>
        <v>27</v>
      </c>
      <c r="K86" s="153">
        <f t="shared" si="35"/>
        <v>23</v>
      </c>
      <c r="L86" s="157">
        <f t="shared" si="36"/>
        <v>0</v>
      </c>
      <c r="M86" s="157">
        <f t="shared" si="37"/>
        <v>0</v>
      </c>
      <c r="N86" s="157">
        <f t="shared" si="38"/>
        <v>0</v>
      </c>
      <c r="O86" s="157">
        <f t="shared" si="39"/>
        <v>0</v>
      </c>
      <c r="P86" s="157">
        <f t="shared" si="40"/>
        <v>0</v>
      </c>
      <c r="Q86" s="157">
        <f t="shared" si="41"/>
        <v>0</v>
      </c>
      <c r="R86" s="157">
        <f t="shared" si="42"/>
        <v>0</v>
      </c>
      <c r="S86" s="157">
        <f t="shared" si="43"/>
        <v>343.31</v>
      </c>
      <c r="T86" s="157">
        <f t="shared" si="44"/>
        <v>0</v>
      </c>
      <c r="U86" s="157">
        <f t="shared" si="45"/>
        <v>0</v>
      </c>
      <c r="V86" s="157">
        <f t="shared" si="46"/>
        <v>0</v>
      </c>
    </row>
    <row r="87" spans="1:22">
      <c r="A87" s="47">
        <f>'A.1_Tabla Costes Subrogación'!A87</f>
        <v>0</v>
      </c>
      <c r="B87" s="51" t="str">
        <f>'A.1_Tabla Costes Subrogación'!B87</f>
        <v xml:space="preserve"> JARDINERO/A</v>
      </c>
      <c r="C87" s="51"/>
      <c r="D87" s="51"/>
      <c r="E87" s="151">
        <f>'A.1_Tabla Costes Subrogación'!E87</f>
        <v>42174</v>
      </c>
      <c r="F87" s="152">
        <f t="shared" si="47"/>
        <v>2015</v>
      </c>
      <c r="G87" s="153">
        <f t="shared" si="32"/>
        <v>2025</v>
      </c>
      <c r="H87" s="153">
        <f t="shared" si="33"/>
        <v>10</v>
      </c>
      <c r="I87" s="153">
        <f t="shared" si="32"/>
        <v>2033</v>
      </c>
      <c r="J87" s="153">
        <f t="shared" si="34"/>
        <v>18</v>
      </c>
      <c r="K87" s="153">
        <f t="shared" si="35"/>
        <v>14</v>
      </c>
      <c r="L87" s="157">
        <f t="shared" si="36"/>
        <v>0</v>
      </c>
      <c r="M87" s="157">
        <f t="shared" si="37"/>
        <v>0</v>
      </c>
      <c r="N87" s="157">
        <f t="shared" si="38"/>
        <v>0</v>
      </c>
      <c r="O87" s="157">
        <f t="shared" si="39"/>
        <v>175.53</v>
      </c>
      <c r="P87" s="157">
        <f t="shared" si="40"/>
        <v>0</v>
      </c>
      <c r="Q87" s="157">
        <f t="shared" si="41"/>
        <v>0</v>
      </c>
      <c r="R87" s="157">
        <f t="shared" si="42"/>
        <v>0</v>
      </c>
      <c r="S87" s="157">
        <f t="shared" si="43"/>
        <v>0</v>
      </c>
      <c r="T87" s="157">
        <f t="shared" si="44"/>
        <v>0</v>
      </c>
      <c r="U87" s="157">
        <f t="shared" si="45"/>
        <v>0</v>
      </c>
      <c r="V87" s="157">
        <f t="shared" si="46"/>
        <v>0</v>
      </c>
    </row>
    <row r="88" spans="1:22">
      <c r="A88" s="47">
        <f>'A.1_Tabla Costes Subrogación'!A88</f>
        <v>0</v>
      </c>
      <c r="B88" s="51" t="str">
        <f>'A.1_Tabla Costes Subrogación'!B88</f>
        <v xml:space="preserve"> JARDINERO/A</v>
      </c>
      <c r="C88" s="51"/>
      <c r="D88" s="51"/>
      <c r="E88" s="151">
        <f>'A.1_Tabla Costes Subrogación'!E88</f>
        <v>42174</v>
      </c>
      <c r="F88" s="152">
        <f t="shared" si="47"/>
        <v>2015</v>
      </c>
      <c r="G88" s="153">
        <f t="shared" si="32"/>
        <v>2025</v>
      </c>
      <c r="H88" s="153">
        <f t="shared" si="33"/>
        <v>10</v>
      </c>
      <c r="I88" s="153">
        <f t="shared" si="32"/>
        <v>2033</v>
      </c>
      <c r="J88" s="153">
        <f t="shared" si="34"/>
        <v>18</v>
      </c>
      <c r="K88" s="153">
        <f t="shared" si="35"/>
        <v>14</v>
      </c>
      <c r="L88" s="157">
        <f t="shared" si="36"/>
        <v>0</v>
      </c>
      <c r="M88" s="157">
        <f t="shared" si="37"/>
        <v>0</v>
      </c>
      <c r="N88" s="157">
        <f t="shared" si="38"/>
        <v>0</v>
      </c>
      <c r="O88" s="157">
        <f t="shared" si="39"/>
        <v>175.53</v>
      </c>
      <c r="P88" s="157">
        <f t="shared" si="40"/>
        <v>0</v>
      </c>
      <c r="Q88" s="157">
        <f t="shared" si="41"/>
        <v>0</v>
      </c>
      <c r="R88" s="157">
        <f t="shared" si="42"/>
        <v>0</v>
      </c>
      <c r="S88" s="157">
        <f t="shared" si="43"/>
        <v>0</v>
      </c>
      <c r="T88" s="157">
        <f t="shared" si="44"/>
        <v>0</v>
      </c>
      <c r="U88" s="157">
        <f t="shared" si="45"/>
        <v>0</v>
      </c>
      <c r="V88" s="157">
        <f t="shared" si="46"/>
        <v>0</v>
      </c>
    </row>
    <row r="89" spans="1:22">
      <c r="A89" s="47">
        <f>'A.1_Tabla Costes Subrogación'!A89</f>
        <v>0</v>
      </c>
      <c r="B89" s="51" t="str">
        <f>'A.1_Tabla Costes Subrogación'!B89</f>
        <v xml:space="preserve"> JARDINERO/A</v>
      </c>
      <c r="C89" s="51"/>
      <c r="D89" s="51"/>
      <c r="E89" s="151">
        <f>'A.1_Tabla Costes Subrogación'!E89</f>
        <v>43270</v>
      </c>
      <c r="F89" s="152">
        <f t="shared" si="47"/>
        <v>2018</v>
      </c>
      <c r="G89" s="153">
        <f t="shared" si="32"/>
        <v>2025</v>
      </c>
      <c r="H89" s="153">
        <f t="shared" si="33"/>
        <v>7</v>
      </c>
      <c r="I89" s="153">
        <f t="shared" si="32"/>
        <v>2033</v>
      </c>
      <c r="J89" s="153">
        <f t="shared" si="34"/>
        <v>15</v>
      </c>
      <c r="K89" s="153">
        <f t="shared" si="35"/>
        <v>11</v>
      </c>
      <c r="L89" s="157">
        <f t="shared" si="36"/>
        <v>0</v>
      </c>
      <c r="M89" s="157">
        <f t="shared" si="37"/>
        <v>0</v>
      </c>
      <c r="N89" s="157">
        <f t="shared" si="38"/>
        <v>0</v>
      </c>
      <c r="O89" s="157">
        <f t="shared" si="39"/>
        <v>175.53</v>
      </c>
      <c r="P89" s="157">
        <f t="shared" si="40"/>
        <v>0</v>
      </c>
      <c r="Q89" s="157">
        <f t="shared" si="41"/>
        <v>0</v>
      </c>
      <c r="R89" s="157">
        <f t="shared" si="42"/>
        <v>0</v>
      </c>
      <c r="S89" s="157">
        <f t="shared" si="43"/>
        <v>0</v>
      </c>
      <c r="T89" s="157">
        <f t="shared" si="44"/>
        <v>0</v>
      </c>
      <c r="U89" s="157">
        <f t="shared" si="45"/>
        <v>0</v>
      </c>
      <c r="V89" s="157">
        <f t="shared" si="46"/>
        <v>0</v>
      </c>
    </row>
    <row r="90" spans="1:22">
      <c r="A90" s="47">
        <f>'A.1_Tabla Costes Subrogación'!A90</f>
        <v>0</v>
      </c>
      <c r="B90" s="51" t="str">
        <f>'A.1_Tabla Costes Subrogación'!B90</f>
        <v xml:space="preserve"> JARDINERO/A</v>
      </c>
      <c r="C90" s="51"/>
      <c r="D90" s="51"/>
      <c r="E90" s="151">
        <f>'A.1_Tabla Costes Subrogación'!E90</f>
        <v>40348</v>
      </c>
      <c r="F90" s="152">
        <f t="shared" si="47"/>
        <v>2010</v>
      </c>
      <c r="G90" s="153">
        <f t="shared" si="32"/>
        <v>2025</v>
      </c>
      <c r="H90" s="153">
        <f t="shared" si="33"/>
        <v>15</v>
      </c>
      <c r="I90" s="153">
        <f t="shared" si="32"/>
        <v>2033</v>
      </c>
      <c r="J90" s="153">
        <f t="shared" si="34"/>
        <v>23</v>
      </c>
      <c r="K90" s="153">
        <f t="shared" si="35"/>
        <v>19</v>
      </c>
      <c r="L90" s="157">
        <f t="shared" si="36"/>
        <v>0</v>
      </c>
      <c r="M90" s="157">
        <f t="shared" si="37"/>
        <v>0</v>
      </c>
      <c r="N90" s="157">
        <f t="shared" si="38"/>
        <v>0</v>
      </c>
      <c r="O90" s="157">
        <f t="shared" si="39"/>
        <v>0</v>
      </c>
      <c r="P90" s="157">
        <f t="shared" si="40"/>
        <v>0</v>
      </c>
      <c r="Q90" s="157">
        <f t="shared" si="41"/>
        <v>264.41000000000003</v>
      </c>
      <c r="R90" s="157">
        <f t="shared" si="42"/>
        <v>0</v>
      </c>
      <c r="S90" s="157">
        <f t="shared" si="43"/>
        <v>0</v>
      </c>
      <c r="T90" s="157">
        <f t="shared" si="44"/>
        <v>0</v>
      </c>
      <c r="U90" s="157">
        <f t="shared" si="45"/>
        <v>0</v>
      </c>
      <c r="V90" s="157">
        <f t="shared" si="46"/>
        <v>0</v>
      </c>
    </row>
    <row r="91" spans="1:22">
      <c r="A91" s="154"/>
      <c r="B91" s="154"/>
      <c r="C91" s="154"/>
      <c r="D91" s="154"/>
      <c r="E91" s="154"/>
      <c r="F91" s="154"/>
      <c r="G91" s="154"/>
      <c r="H91" s="154"/>
      <c r="I91" s="154"/>
      <c r="J91" s="154"/>
      <c r="K91" s="154"/>
      <c r="L91" s="154"/>
      <c r="M91" s="154"/>
      <c r="N91" s="154"/>
      <c r="O91" s="154"/>
      <c r="P91" s="154"/>
      <c r="Q91" s="154"/>
      <c r="R91" s="154"/>
      <c r="S91" s="154"/>
      <c r="T91" s="154"/>
      <c r="U91" s="154"/>
      <c r="V91" s="154"/>
    </row>
    <row r="92" spans="1:22">
      <c r="A92" s="47">
        <f>'A.1_Tabla Costes Subrogación'!A92</f>
        <v>1</v>
      </c>
      <c r="B92" s="51" t="str">
        <f>'A.1_Tabla Costes Subrogación'!B92</f>
        <v xml:space="preserve"> OFICIAL JARD.  </v>
      </c>
      <c r="C92" s="51"/>
      <c r="D92" s="51"/>
      <c r="E92" s="151">
        <f>'A.1_Tabla Costes Subrogación'!E92</f>
        <v>38749</v>
      </c>
      <c r="F92" s="152">
        <f t="shared" ref="F92:F116" si="48">YEAR(E92)</f>
        <v>2006</v>
      </c>
      <c r="G92" s="153">
        <f t="shared" ref="G92:I116" si="49">G$4</f>
        <v>2025</v>
      </c>
      <c r="H92" s="153">
        <f t="shared" ref="H92:H116" si="50">G92-F92</f>
        <v>19</v>
      </c>
      <c r="I92" s="153">
        <f t="shared" si="49"/>
        <v>2033</v>
      </c>
      <c r="J92" s="153">
        <f t="shared" ref="J92:J116" si="51">I92-F92</f>
        <v>27</v>
      </c>
      <c r="K92" s="153">
        <f t="shared" ref="K92:K116" si="52">(H92+J92)/2</f>
        <v>23</v>
      </c>
      <c r="L92" s="157">
        <f t="shared" ref="L92:L104" si="53">IF(AND(K92&gt;0,K92&lt;3),L$135,0)</f>
        <v>0</v>
      </c>
      <c r="M92" s="157">
        <f t="shared" ref="M92:M104" si="54">IF(AND(K92&gt;2,K92&lt;7),M$135,0)</f>
        <v>0</v>
      </c>
      <c r="N92" s="157">
        <f t="shared" ref="N92:N104" si="55">IF(AND(K92&gt;6,K92&lt;11),N$135,0)</f>
        <v>0</v>
      </c>
      <c r="O92" s="157">
        <f t="shared" ref="O92:O104" si="56">IF(AND(K92&gt;10,K92&lt;15),O$135,0)</f>
        <v>0</v>
      </c>
      <c r="P92" s="157">
        <f t="shared" ref="P92:P104" si="57">IF(AND(K92&gt;14,K92&lt;19),P$135,0)</f>
        <v>0</v>
      </c>
      <c r="Q92" s="157">
        <f t="shared" ref="Q92:Q104" si="58">IF(AND(K92&gt;18,K92&lt;21),Q$135,0)</f>
        <v>0</v>
      </c>
      <c r="R92" s="157">
        <f t="shared" ref="R92:R104" si="59">IF(AND(K92&gt;20,K92&lt;23),R$135,0)</f>
        <v>0</v>
      </c>
      <c r="S92" s="157">
        <f t="shared" ref="S92:S104" si="60">IF(AND(K92&gt;22,K92&lt;25),S$135,0)</f>
        <v>343.31</v>
      </c>
      <c r="T92" s="157">
        <f t="shared" ref="T92:T104" si="61">IF(AND(K92&gt;24,K92&lt;27),T$135,0)</f>
        <v>0</v>
      </c>
      <c r="U92" s="157">
        <f t="shared" ref="U92:U104" si="62">IF(K92&gt;26,U$135,0)</f>
        <v>0</v>
      </c>
      <c r="V92" s="157">
        <f t="shared" ref="V92:V104" si="63">IF(A92&gt;0,(SUM(L92:U92)),0)</f>
        <v>343.31</v>
      </c>
    </row>
    <row r="93" spans="1:22">
      <c r="A93" s="47">
        <f>'A.1_Tabla Costes Subrogación'!A93</f>
        <v>1</v>
      </c>
      <c r="B93" s="51" t="str">
        <f>'A.1_Tabla Costes Subrogación'!B93</f>
        <v xml:space="preserve"> OFICIAL JARD.  </v>
      </c>
      <c r="C93" s="51"/>
      <c r="D93" s="51"/>
      <c r="E93" s="151">
        <f>'A.1_Tabla Costes Subrogación'!E93</f>
        <v>38932</v>
      </c>
      <c r="F93" s="152">
        <f t="shared" si="48"/>
        <v>2006</v>
      </c>
      <c r="G93" s="153">
        <f t="shared" si="49"/>
        <v>2025</v>
      </c>
      <c r="H93" s="153">
        <f t="shared" si="50"/>
        <v>19</v>
      </c>
      <c r="I93" s="153">
        <f t="shared" si="49"/>
        <v>2033</v>
      </c>
      <c r="J93" s="153">
        <f t="shared" si="51"/>
        <v>27</v>
      </c>
      <c r="K93" s="153">
        <f t="shared" si="52"/>
        <v>23</v>
      </c>
      <c r="L93" s="157">
        <f t="shared" si="53"/>
        <v>0</v>
      </c>
      <c r="M93" s="157">
        <f t="shared" si="54"/>
        <v>0</v>
      </c>
      <c r="N93" s="157">
        <f t="shared" si="55"/>
        <v>0</v>
      </c>
      <c r="O93" s="157">
        <f t="shared" si="56"/>
        <v>0</v>
      </c>
      <c r="P93" s="157">
        <f t="shared" si="57"/>
        <v>0</v>
      </c>
      <c r="Q93" s="157">
        <f t="shared" si="58"/>
        <v>0</v>
      </c>
      <c r="R93" s="157">
        <f t="shared" si="59"/>
        <v>0</v>
      </c>
      <c r="S93" s="157">
        <f t="shared" si="60"/>
        <v>343.31</v>
      </c>
      <c r="T93" s="157">
        <f t="shared" si="61"/>
        <v>0</v>
      </c>
      <c r="U93" s="157">
        <f t="shared" si="62"/>
        <v>0</v>
      </c>
      <c r="V93" s="157">
        <f t="shared" si="63"/>
        <v>343.31</v>
      </c>
    </row>
    <row r="94" spans="1:22">
      <c r="A94" s="47">
        <f>'A.1_Tabla Costes Subrogación'!A94</f>
        <v>1</v>
      </c>
      <c r="B94" s="51" t="str">
        <f>'A.1_Tabla Costes Subrogación'!B94</f>
        <v xml:space="preserve"> OFICIAL JARD.  </v>
      </c>
      <c r="C94" s="51"/>
      <c r="D94" s="51"/>
      <c r="E94" s="151">
        <f>'A.1_Tabla Costes Subrogación'!E94</f>
        <v>38932</v>
      </c>
      <c r="F94" s="152">
        <f t="shared" si="48"/>
        <v>2006</v>
      </c>
      <c r="G94" s="153">
        <f t="shared" si="49"/>
        <v>2025</v>
      </c>
      <c r="H94" s="153">
        <f t="shared" si="50"/>
        <v>19</v>
      </c>
      <c r="I94" s="153">
        <f t="shared" si="49"/>
        <v>2033</v>
      </c>
      <c r="J94" s="153">
        <f t="shared" si="51"/>
        <v>27</v>
      </c>
      <c r="K94" s="153">
        <f t="shared" si="52"/>
        <v>23</v>
      </c>
      <c r="L94" s="157">
        <f t="shared" si="53"/>
        <v>0</v>
      </c>
      <c r="M94" s="157">
        <f t="shared" si="54"/>
        <v>0</v>
      </c>
      <c r="N94" s="157">
        <f t="shared" si="55"/>
        <v>0</v>
      </c>
      <c r="O94" s="157">
        <f t="shared" si="56"/>
        <v>0</v>
      </c>
      <c r="P94" s="157">
        <f t="shared" si="57"/>
        <v>0</v>
      </c>
      <c r="Q94" s="157">
        <f t="shared" si="58"/>
        <v>0</v>
      </c>
      <c r="R94" s="157">
        <f t="shared" si="59"/>
        <v>0</v>
      </c>
      <c r="S94" s="157">
        <f t="shared" si="60"/>
        <v>343.31</v>
      </c>
      <c r="T94" s="157">
        <f t="shared" si="61"/>
        <v>0</v>
      </c>
      <c r="U94" s="157">
        <f t="shared" si="62"/>
        <v>0</v>
      </c>
      <c r="V94" s="157">
        <f t="shared" si="63"/>
        <v>343.31</v>
      </c>
    </row>
    <row r="95" spans="1:22">
      <c r="A95" s="47">
        <f>'A.1_Tabla Costes Subrogación'!A95</f>
        <v>1</v>
      </c>
      <c r="B95" s="51" t="str">
        <f>'A.1_Tabla Costes Subrogación'!B95</f>
        <v xml:space="preserve"> OFICIAL JARD.  </v>
      </c>
      <c r="C95" s="51"/>
      <c r="D95" s="51"/>
      <c r="E95" s="151">
        <f>'A.1_Tabla Costes Subrogación'!E95</f>
        <v>38838</v>
      </c>
      <c r="F95" s="152">
        <f t="shared" si="48"/>
        <v>2006</v>
      </c>
      <c r="G95" s="153">
        <f t="shared" si="49"/>
        <v>2025</v>
      </c>
      <c r="H95" s="153">
        <f t="shared" si="50"/>
        <v>19</v>
      </c>
      <c r="I95" s="153">
        <f t="shared" si="49"/>
        <v>2033</v>
      </c>
      <c r="J95" s="153">
        <f t="shared" si="51"/>
        <v>27</v>
      </c>
      <c r="K95" s="153">
        <f t="shared" si="52"/>
        <v>23</v>
      </c>
      <c r="L95" s="157">
        <f t="shared" si="53"/>
        <v>0</v>
      </c>
      <c r="M95" s="157">
        <f t="shared" si="54"/>
        <v>0</v>
      </c>
      <c r="N95" s="157">
        <f t="shared" si="55"/>
        <v>0</v>
      </c>
      <c r="O95" s="157">
        <f t="shared" si="56"/>
        <v>0</v>
      </c>
      <c r="P95" s="157">
        <f t="shared" si="57"/>
        <v>0</v>
      </c>
      <c r="Q95" s="157">
        <f t="shared" si="58"/>
        <v>0</v>
      </c>
      <c r="R95" s="157">
        <f t="shared" si="59"/>
        <v>0</v>
      </c>
      <c r="S95" s="157">
        <f t="shared" si="60"/>
        <v>343.31</v>
      </c>
      <c r="T95" s="157">
        <f t="shared" si="61"/>
        <v>0</v>
      </c>
      <c r="U95" s="157">
        <f t="shared" si="62"/>
        <v>0</v>
      </c>
      <c r="V95" s="157">
        <f t="shared" si="63"/>
        <v>343.31</v>
      </c>
    </row>
    <row r="96" spans="1:22">
      <c r="A96" s="47">
        <f>'A.1_Tabla Costes Subrogación'!A96</f>
        <v>1</v>
      </c>
      <c r="B96" s="51" t="str">
        <f>'A.1_Tabla Costes Subrogación'!B96</f>
        <v xml:space="preserve"> OFICIAL JARD.  </v>
      </c>
      <c r="C96" s="51"/>
      <c r="D96" s="51"/>
      <c r="E96" s="151">
        <f>'A.1_Tabla Costes Subrogación'!E96</f>
        <v>39038</v>
      </c>
      <c r="F96" s="152">
        <f t="shared" si="48"/>
        <v>2006</v>
      </c>
      <c r="G96" s="153">
        <f t="shared" si="49"/>
        <v>2025</v>
      </c>
      <c r="H96" s="153">
        <f t="shared" si="50"/>
        <v>19</v>
      </c>
      <c r="I96" s="153">
        <f t="shared" si="49"/>
        <v>2033</v>
      </c>
      <c r="J96" s="153">
        <f t="shared" si="51"/>
        <v>27</v>
      </c>
      <c r="K96" s="153">
        <f t="shared" si="52"/>
        <v>23</v>
      </c>
      <c r="L96" s="157">
        <f t="shared" si="53"/>
        <v>0</v>
      </c>
      <c r="M96" s="157">
        <f t="shared" si="54"/>
        <v>0</v>
      </c>
      <c r="N96" s="157">
        <f t="shared" si="55"/>
        <v>0</v>
      </c>
      <c r="O96" s="157">
        <f t="shared" si="56"/>
        <v>0</v>
      </c>
      <c r="P96" s="157">
        <f t="shared" si="57"/>
        <v>0</v>
      </c>
      <c r="Q96" s="157">
        <f t="shared" si="58"/>
        <v>0</v>
      </c>
      <c r="R96" s="157">
        <f t="shared" si="59"/>
        <v>0</v>
      </c>
      <c r="S96" s="157">
        <f t="shared" si="60"/>
        <v>343.31</v>
      </c>
      <c r="T96" s="157">
        <f t="shared" si="61"/>
        <v>0</v>
      </c>
      <c r="U96" s="157">
        <f t="shared" si="62"/>
        <v>0</v>
      </c>
      <c r="V96" s="157">
        <f t="shared" si="63"/>
        <v>343.31</v>
      </c>
    </row>
    <row r="97" spans="1:22">
      <c r="A97" s="47">
        <f>'A.1_Tabla Costes Subrogación'!A97</f>
        <v>1</v>
      </c>
      <c r="B97" s="51" t="str">
        <f>'A.1_Tabla Costes Subrogación'!B97</f>
        <v xml:space="preserve"> OFICIAL JARD.  </v>
      </c>
      <c r="C97" s="51"/>
      <c r="D97" s="51"/>
      <c r="E97" s="151">
        <f>'A.1_Tabla Costes Subrogación'!E97</f>
        <v>38749</v>
      </c>
      <c r="F97" s="152">
        <f t="shared" si="48"/>
        <v>2006</v>
      </c>
      <c r="G97" s="153">
        <f t="shared" si="49"/>
        <v>2025</v>
      </c>
      <c r="H97" s="153">
        <f t="shared" si="50"/>
        <v>19</v>
      </c>
      <c r="I97" s="153">
        <f t="shared" si="49"/>
        <v>2033</v>
      </c>
      <c r="J97" s="153">
        <f t="shared" si="51"/>
        <v>27</v>
      </c>
      <c r="K97" s="153">
        <f t="shared" si="52"/>
        <v>23</v>
      </c>
      <c r="L97" s="157">
        <f t="shared" si="53"/>
        <v>0</v>
      </c>
      <c r="M97" s="157">
        <f t="shared" si="54"/>
        <v>0</v>
      </c>
      <c r="N97" s="157">
        <f t="shared" si="55"/>
        <v>0</v>
      </c>
      <c r="O97" s="157">
        <f t="shared" si="56"/>
        <v>0</v>
      </c>
      <c r="P97" s="157">
        <f t="shared" si="57"/>
        <v>0</v>
      </c>
      <c r="Q97" s="157">
        <f t="shared" si="58"/>
        <v>0</v>
      </c>
      <c r="R97" s="157">
        <f t="shared" si="59"/>
        <v>0</v>
      </c>
      <c r="S97" s="157">
        <f t="shared" si="60"/>
        <v>343.31</v>
      </c>
      <c r="T97" s="157">
        <f t="shared" si="61"/>
        <v>0</v>
      </c>
      <c r="U97" s="157">
        <f t="shared" si="62"/>
        <v>0</v>
      </c>
      <c r="V97" s="157">
        <f t="shared" si="63"/>
        <v>343.31</v>
      </c>
    </row>
    <row r="98" spans="1:22">
      <c r="A98" s="47">
        <f>'A.1_Tabla Costes Subrogación'!A98</f>
        <v>1</v>
      </c>
      <c r="B98" s="51" t="str">
        <f>'A.1_Tabla Costes Subrogación'!B98</f>
        <v xml:space="preserve"> OFICIAL JARD.  </v>
      </c>
      <c r="C98" s="51"/>
      <c r="D98" s="51"/>
      <c r="E98" s="151">
        <f>'A.1_Tabla Costes Subrogación'!E98</f>
        <v>35966</v>
      </c>
      <c r="F98" s="152">
        <f t="shared" si="48"/>
        <v>1998</v>
      </c>
      <c r="G98" s="153">
        <f t="shared" si="49"/>
        <v>2025</v>
      </c>
      <c r="H98" s="153">
        <f t="shared" si="50"/>
        <v>27</v>
      </c>
      <c r="I98" s="153">
        <f t="shared" si="49"/>
        <v>2033</v>
      </c>
      <c r="J98" s="153">
        <f t="shared" si="51"/>
        <v>35</v>
      </c>
      <c r="K98" s="153">
        <f t="shared" si="52"/>
        <v>31</v>
      </c>
      <c r="L98" s="157">
        <f t="shared" si="53"/>
        <v>0</v>
      </c>
      <c r="M98" s="157">
        <f t="shared" si="54"/>
        <v>0</v>
      </c>
      <c r="N98" s="157">
        <f t="shared" si="55"/>
        <v>0</v>
      </c>
      <c r="O98" s="157">
        <f t="shared" si="56"/>
        <v>0</v>
      </c>
      <c r="P98" s="157">
        <f t="shared" si="57"/>
        <v>0</v>
      </c>
      <c r="Q98" s="157">
        <f t="shared" si="58"/>
        <v>0</v>
      </c>
      <c r="R98" s="157">
        <f t="shared" si="59"/>
        <v>0</v>
      </c>
      <c r="S98" s="157">
        <f t="shared" si="60"/>
        <v>0</v>
      </c>
      <c r="T98" s="157">
        <f t="shared" si="61"/>
        <v>0</v>
      </c>
      <c r="U98" s="157">
        <f t="shared" si="62"/>
        <v>421.15</v>
      </c>
      <c r="V98" s="157">
        <f t="shared" si="63"/>
        <v>421.15</v>
      </c>
    </row>
    <row r="99" spans="1:22">
      <c r="A99" s="47">
        <f>'A.1_Tabla Costes Subrogación'!A99</f>
        <v>1</v>
      </c>
      <c r="B99" s="51" t="str">
        <f>'A.1_Tabla Costes Subrogación'!B99</f>
        <v xml:space="preserve"> OFICIAL JARD.  </v>
      </c>
      <c r="C99" s="51"/>
      <c r="D99" s="51"/>
      <c r="E99" s="151">
        <f>'A.1_Tabla Costes Subrogación'!E99</f>
        <v>38827</v>
      </c>
      <c r="F99" s="152">
        <f t="shared" si="48"/>
        <v>2006</v>
      </c>
      <c r="G99" s="153">
        <f t="shared" si="49"/>
        <v>2025</v>
      </c>
      <c r="H99" s="153">
        <f t="shared" si="50"/>
        <v>19</v>
      </c>
      <c r="I99" s="153">
        <f t="shared" si="49"/>
        <v>2033</v>
      </c>
      <c r="J99" s="153">
        <f t="shared" si="51"/>
        <v>27</v>
      </c>
      <c r="K99" s="153">
        <f t="shared" si="52"/>
        <v>23</v>
      </c>
      <c r="L99" s="157">
        <f t="shared" si="53"/>
        <v>0</v>
      </c>
      <c r="M99" s="157">
        <f t="shared" si="54"/>
        <v>0</v>
      </c>
      <c r="N99" s="157">
        <f t="shared" si="55"/>
        <v>0</v>
      </c>
      <c r="O99" s="157">
        <f t="shared" si="56"/>
        <v>0</v>
      </c>
      <c r="P99" s="157">
        <f t="shared" si="57"/>
        <v>0</v>
      </c>
      <c r="Q99" s="157">
        <f t="shared" si="58"/>
        <v>0</v>
      </c>
      <c r="R99" s="157">
        <f t="shared" si="59"/>
        <v>0</v>
      </c>
      <c r="S99" s="157">
        <f t="shared" si="60"/>
        <v>343.31</v>
      </c>
      <c r="T99" s="157">
        <f t="shared" si="61"/>
        <v>0</v>
      </c>
      <c r="U99" s="157">
        <f t="shared" si="62"/>
        <v>0</v>
      </c>
      <c r="V99" s="157">
        <f t="shared" si="63"/>
        <v>343.31</v>
      </c>
    </row>
    <row r="100" spans="1:22">
      <c r="A100" s="47">
        <f>'A.1_Tabla Costes Subrogación'!A100</f>
        <v>1</v>
      </c>
      <c r="B100" s="51" t="str">
        <f>'A.1_Tabla Costes Subrogación'!B100</f>
        <v xml:space="preserve"> OFICIAL JARD.  </v>
      </c>
      <c r="C100" s="51"/>
      <c r="D100" s="51"/>
      <c r="E100" s="151">
        <f>'A.1_Tabla Costes Subrogación'!E100</f>
        <v>38749</v>
      </c>
      <c r="F100" s="152">
        <f t="shared" si="48"/>
        <v>2006</v>
      </c>
      <c r="G100" s="153">
        <f t="shared" si="49"/>
        <v>2025</v>
      </c>
      <c r="H100" s="153">
        <f t="shared" si="50"/>
        <v>19</v>
      </c>
      <c r="I100" s="153">
        <f t="shared" si="49"/>
        <v>2033</v>
      </c>
      <c r="J100" s="153">
        <f t="shared" si="51"/>
        <v>27</v>
      </c>
      <c r="K100" s="153">
        <f t="shared" si="52"/>
        <v>23</v>
      </c>
      <c r="L100" s="157">
        <f t="shared" si="53"/>
        <v>0</v>
      </c>
      <c r="M100" s="157">
        <f t="shared" si="54"/>
        <v>0</v>
      </c>
      <c r="N100" s="157">
        <f t="shared" si="55"/>
        <v>0</v>
      </c>
      <c r="O100" s="157">
        <f t="shared" si="56"/>
        <v>0</v>
      </c>
      <c r="P100" s="157">
        <f t="shared" si="57"/>
        <v>0</v>
      </c>
      <c r="Q100" s="157">
        <f t="shared" si="58"/>
        <v>0</v>
      </c>
      <c r="R100" s="157">
        <f t="shared" si="59"/>
        <v>0</v>
      </c>
      <c r="S100" s="157">
        <f t="shared" si="60"/>
        <v>343.31</v>
      </c>
      <c r="T100" s="157">
        <f t="shared" si="61"/>
        <v>0</v>
      </c>
      <c r="U100" s="157">
        <f t="shared" si="62"/>
        <v>0</v>
      </c>
      <c r="V100" s="157">
        <f t="shared" si="63"/>
        <v>343.31</v>
      </c>
    </row>
    <row r="101" spans="1:22">
      <c r="A101" s="47">
        <f>'A.1_Tabla Costes Subrogación'!A101</f>
        <v>1</v>
      </c>
      <c r="B101" s="51" t="str">
        <f>'A.1_Tabla Costes Subrogación'!B101</f>
        <v xml:space="preserve"> OFICIAL COND.  </v>
      </c>
      <c r="C101" s="51"/>
      <c r="D101" s="51"/>
      <c r="E101" s="151">
        <f>'A.1_Tabla Costes Subrogación'!E101</f>
        <v>37653</v>
      </c>
      <c r="F101" s="152">
        <f t="shared" si="48"/>
        <v>2003</v>
      </c>
      <c r="G101" s="153">
        <f t="shared" si="49"/>
        <v>2025</v>
      </c>
      <c r="H101" s="153">
        <f t="shared" si="50"/>
        <v>22</v>
      </c>
      <c r="I101" s="153">
        <f t="shared" si="49"/>
        <v>2033</v>
      </c>
      <c r="J101" s="153">
        <f t="shared" si="51"/>
        <v>30</v>
      </c>
      <c r="K101" s="153">
        <f t="shared" si="52"/>
        <v>26</v>
      </c>
      <c r="L101" s="157">
        <f t="shared" si="53"/>
        <v>0</v>
      </c>
      <c r="M101" s="157">
        <f t="shared" si="54"/>
        <v>0</v>
      </c>
      <c r="N101" s="157">
        <f t="shared" si="55"/>
        <v>0</v>
      </c>
      <c r="O101" s="157">
        <f t="shared" si="56"/>
        <v>0</v>
      </c>
      <c r="P101" s="157">
        <f t="shared" si="57"/>
        <v>0</v>
      </c>
      <c r="Q101" s="157">
        <f t="shared" si="58"/>
        <v>0</v>
      </c>
      <c r="R101" s="157">
        <f t="shared" si="59"/>
        <v>0</v>
      </c>
      <c r="S101" s="157">
        <f t="shared" si="60"/>
        <v>0</v>
      </c>
      <c r="T101" s="157">
        <f t="shared" si="61"/>
        <v>385.86</v>
      </c>
      <c r="U101" s="157">
        <f t="shared" si="62"/>
        <v>0</v>
      </c>
      <c r="V101" s="157">
        <f t="shared" si="63"/>
        <v>385.86</v>
      </c>
    </row>
    <row r="102" spans="1:22">
      <c r="A102" s="47">
        <f>'A.1_Tabla Costes Subrogación'!A102</f>
        <v>1</v>
      </c>
      <c r="B102" s="51" t="str">
        <f>'A.1_Tabla Costes Subrogación'!B102</f>
        <v xml:space="preserve"> OFICIAL COND.  </v>
      </c>
      <c r="C102" s="51"/>
      <c r="D102" s="51"/>
      <c r="E102" s="151">
        <f>'A.1_Tabla Costes Subrogación'!E102</f>
        <v>39618</v>
      </c>
      <c r="F102" s="152">
        <f t="shared" si="48"/>
        <v>2008</v>
      </c>
      <c r="G102" s="153">
        <f t="shared" si="49"/>
        <v>2025</v>
      </c>
      <c r="H102" s="153">
        <f t="shared" si="50"/>
        <v>17</v>
      </c>
      <c r="I102" s="153">
        <f t="shared" si="49"/>
        <v>2033</v>
      </c>
      <c r="J102" s="153">
        <f t="shared" si="51"/>
        <v>25</v>
      </c>
      <c r="K102" s="153">
        <f t="shared" si="52"/>
        <v>21</v>
      </c>
      <c r="L102" s="157">
        <f t="shared" si="53"/>
        <v>0</v>
      </c>
      <c r="M102" s="157">
        <f t="shared" si="54"/>
        <v>0</v>
      </c>
      <c r="N102" s="157">
        <f t="shared" si="55"/>
        <v>0</v>
      </c>
      <c r="O102" s="157">
        <f t="shared" si="56"/>
        <v>0</v>
      </c>
      <c r="P102" s="157">
        <f t="shared" si="57"/>
        <v>0</v>
      </c>
      <c r="Q102" s="157">
        <f t="shared" si="58"/>
        <v>0</v>
      </c>
      <c r="R102" s="157">
        <f t="shared" si="59"/>
        <v>280.79000000000002</v>
      </c>
      <c r="S102" s="157">
        <f t="shared" si="60"/>
        <v>0</v>
      </c>
      <c r="T102" s="157">
        <f t="shared" si="61"/>
        <v>0</v>
      </c>
      <c r="U102" s="157">
        <f t="shared" si="62"/>
        <v>0</v>
      </c>
      <c r="V102" s="157">
        <f t="shared" si="63"/>
        <v>280.79000000000002</v>
      </c>
    </row>
    <row r="103" spans="1:22">
      <c r="A103" s="47">
        <f>'A.1_Tabla Costes Subrogación'!A103</f>
        <v>1</v>
      </c>
      <c r="B103" s="51" t="str">
        <f>'A.1_Tabla Costes Subrogación'!B103</f>
        <v xml:space="preserve"> OFICIAL COND.  </v>
      </c>
      <c r="C103" s="51"/>
      <c r="D103" s="51"/>
      <c r="E103" s="151">
        <f>'A.1_Tabla Costes Subrogación'!E103</f>
        <v>38880</v>
      </c>
      <c r="F103" s="152">
        <f t="shared" si="48"/>
        <v>2006</v>
      </c>
      <c r="G103" s="153">
        <f t="shared" si="49"/>
        <v>2025</v>
      </c>
      <c r="H103" s="153">
        <f t="shared" si="50"/>
        <v>19</v>
      </c>
      <c r="I103" s="153">
        <f t="shared" si="49"/>
        <v>2033</v>
      </c>
      <c r="J103" s="153">
        <f t="shared" si="51"/>
        <v>27</v>
      </c>
      <c r="K103" s="153">
        <f t="shared" si="52"/>
        <v>23</v>
      </c>
      <c r="L103" s="157">
        <f t="shared" si="53"/>
        <v>0</v>
      </c>
      <c r="M103" s="157">
        <f t="shared" si="54"/>
        <v>0</v>
      </c>
      <c r="N103" s="157">
        <f t="shared" si="55"/>
        <v>0</v>
      </c>
      <c r="O103" s="157">
        <f t="shared" si="56"/>
        <v>0</v>
      </c>
      <c r="P103" s="157">
        <f t="shared" si="57"/>
        <v>0</v>
      </c>
      <c r="Q103" s="157">
        <f t="shared" si="58"/>
        <v>0</v>
      </c>
      <c r="R103" s="157">
        <f t="shared" si="59"/>
        <v>0</v>
      </c>
      <c r="S103" s="157">
        <f t="shared" si="60"/>
        <v>343.31</v>
      </c>
      <c r="T103" s="157">
        <f t="shared" si="61"/>
        <v>0</v>
      </c>
      <c r="U103" s="157">
        <f t="shared" si="62"/>
        <v>0</v>
      </c>
      <c r="V103" s="157">
        <f t="shared" si="63"/>
        <v>343.31</v>
      </c>
    </row>
    <row r="104" spans="1:22">
      <c r="A104" s="47">
        <f>'A.1_Tabla Costes Subrogación'!A104</f>
        <v>1</v>
      </c>
      <c r="B104" s="51" t="str">
        <f>'A.1_Tabla Costes Subrogación'!B104</f>
        <v xml:space="preserve"> OFICIAL JARD.  </v>
      </c>
      <c r="C104" s="51"/>
      <c r="D104" s="51"/>
      <c r="E104" s="151">
        <f>'A.1_Tabla Costes Subrogación'!E104</f>
        <v>38908</v>
      </c>
      <c r="F104" s="152">
        <f t="shared" si="48"/>
        <v>2006</v>
      </c>
      <c r="G104" s="153">
        <f t="shared" si="49"/>
        <v>2025</v>
      </c>
      <c r="H104" s="153">
        <f t="shared" si="50"/>
        <v>19</v>
      </c>
      <c r="I104" s="153">
        <f t="shared" si="49"/>
        <v>2033</v>
      </c>
      <c r="J104" s="153">
        <f t="shared" si="51"/>
        <v>27</v>
      </c>
      <c r="K104" s="153">
        <f t="shared" si="52"/>
        <v>23</v>
      </c>
      <c r="L104" s="157">
        <f t="shared" si="53"/>
        <v>0</v>
      </c>
      <c r="M104" s="157">
        <f t="shared" si="54"/>
        <v>0</v>
      </c>
      <c r="N104" s="157">
        <f t="shared" si="55"/>
        <v>0</v>
      </c>
      <c r="O104" s="157">
        <f t="shared" si="56"/>
        <v>0</v>
      </c>
      <c r="P104" s="157">
        <f t="shared" si="57"/>
        <v>0</v>
      </c>
      <c r="Q104" s="157">
        <f t="shared" si="58"/>
        <v>0</v>
      </c>
      <c r="R104" s="157">
        <f t="shared" si="59"/>
        <v>0</v>
      </c>
      <c r="S104" s="157">
        <f t="shared" si="60"/>
        <v>343.31</v>
      </c>
      <c r="T104" s="157">
        <f t="shared" si="61"/>
        <v>0</v>
      </c>
      <c r="U104" s="157">
        <f t="shared" si="62"/>
        <v>0</v>
      </c>
      <c r="V104" s="157">
        <f t="shared" si="63"/>
        <v>343.31</v>
      </c>
    </row>
    <row r="105" spans="1:22">
      <c r="A105" s="47">
        <f>'A.1_Tabla Costes Subrogación'!A105</f>
        <v>1</v>
      </c>
      <c r="B105" s="51" t="str">
        <f>'A.1_Tabla Costes Subrogación'!B105</f>
        <v xml:space="preserve"> OFICIAL JARD.  </v>
      </c>
      <c r="C105" s="51"/>
      <c r="D105" s="51"/>
      <c r="E105" s="151">
        <f>'A.1_Tabla Costes Subrogación'!E105</f>
        <v>39038</v>
      </c>
      <c r="F105" s="152">
        <f t="shared" si="48"/>
        <v>2006</v>
      </c>
      <c r="G105" s="153">
        <f t="shared" si="49"/>
        <v>2025</v>
      </c>
      <c r="H105" s="153">
        <f t="shared" si="50"/>
        <v>19</v>
      </c>
      <c r="I105" s="153">
        <f t="shared" si="49"/>
        <v>2033</v>
      </c>
      <c r="J105" s="153">
        <f t="shared" si="51"/>
        <v>27</v>
      </c>
      <c r="K105" s="153">
        <f t="shared" si="52"/>
        <v>23</v>
      </c>
      <c r="L105" s="157">
        <f t="shared" ref="L105:L116" si="64">IF(AND(K105&gt;0,K105&lt;3),L$135,0)</f>
        <v>0</v>
      </c>
      <c r="M105" s="157">
        <f t="shared" ref="M105:M116" si="65">IF(AND(K105&gt;2,K105&lt;7),M$135,0)</f>
        <v>0</v>
      </c>
      <c r="N105" s="157">
        <f t="shared" ref="N105:N116" si="66">IF(AND(K105&gt;6,K105&lt;11),N$135,0)</f>
        <v>0</v>
      </c>
      <c r="O105" s="157">
        <f t="shared" ref="O105:O116" si="67">IF(AND(K105&gt;10,K105&lt;15),O$135,0)</f>
        <v>0</v>
      </c>
      <c r="P105" s="157">
        <f t="shared" ref="P105:P116" si="68">IF(AND(K105&gt;14,K105&lt;19),P$135,0)</f>
        <v>0</v>
      </c>
      <c r="Q105" s="157">
        <f t="shared" ref="Q105:Q116" si="69">IF(AND(K105&gt;18,K105&lt;21),Q$135,0)</f>
        <v>0</v>
      </c>
      <c r="R105" s="157">
        <f t="shared" ref="R105:R116" si="70">IF(AND(K105&gt;20,K105&lt;23),R$135,0)</f>
        <v>0</v>
      </c>
      <c r="S105" s="157">
        <f t="shared" ref="S105:S116" si="71">IF(AND(K105&gt;22,K105&lt;25),S$135,0)</f>
        <v>343.31</v>
      </c>
      <c r="T105" s="157">
        <f t="shared" ref="T105:T116" si="72">IF(AND(K105&gt;24,K105&lt;27),T$135,0)</f>
        <v>0</v>
      </c>
      <c r="U105" s="157">
        <f t="shared" ref="U105:U116" si="73">IF(K105&gt;26,U$135,0)</f>
        <v>0</v>
      </c>
      <c r="V105" s="157">
        <f t="shared" ref="V105:V116" si="74">IF(A105&gt;0,(SUM(L105:U105)),0)</f>
        <v>343.31</v>
      </c>
    </row>
    <row r="106" spans="1:22">
      <c r="A106" s="47">
        <f>'A.1_Tabla Costes Subrogación'!A106</f>
        <v>1</v>
      </c>
      <c r="B106" s="51" t="str">
        <f>'A.1_Tabla Costes Subrogación'!B106</f>
        <v xml:space="preserve"> OFICIAL JARD.  </v>
      </c>
      <c r="C106" s="51"/>
      <c r="D106" s="51"/>
      <c r="E106" s="151">
        <f>'A.1_Tabla Costes Subrogación'!E106</f>
        <v>38749</v>
      </c>
      <c r="F106" s="152">
        <f t="shared" si="48"/>
        <v>2006</v>
      </c>
      <c r="G106" s="153">
        <f t="shared" si="49"/>
        <v>2025</v>
      </c>
      <c r="H106" s="153">
        <f t="shared" si="50"/>
        <v>19</v>
      </c>
      <c r="I106" s="153">
        <f t="shared" si="49"/>
        <v>2033</v>
      </c>
      <c r="J106" s="153">
        <f t="shared" si="51"/>
        <v>27</v>
      </c>
      <c r="K106" s="153">
        <f t="shared" si="52"/>
        <v>23</v>
      </c>
      <c r="L106" s="157">
        <f t="shared" si="64"/>
        <v>0</v>
      </c>
      <c r="M106" s="157">
        <f t="shared" si="65"/>
        <v>0</v>
      </c>
      <c r="N106" s="157">
        <f t="shared" si="66"/>
        <v>0</v>
      </c>
      <c r="O106" s="157">
        <f t="shared" si="67"/>
        <v>0</v>
      </c>
      <c r="P106" s="157">
        <f t="shared" si="68"/>
        <v>0</v>
      </c>
      <c r="Q106" s="157">
        <f t="shared" si="69"/>
        <v>0</v>
      </c>
      <c r="R106" s="157">
        <f t="shared" si="70"/>
        <v>0</v>
      </c>
      <c r="S106" s="157">
        <f t="shared" si="71"/>
        <v>343.31</v>
      </c>
      <c r="T106" s="157">
        <f t="shared" si="72"/>
        <v>0</v>
      </c>
      <c r="U106" s="157">
        <f t="shared" si="73"/>
        <v>0</v>
      </c>
      <c r="V106" s="157">
        <f t="shared" si="74"/>
        <v>343.31</v>
      </c>
    </row>
    <row r="107" spans="1:22">
      <c r="A107" s="47">
        <f>'A.1_Tabla Costes Subrogación'!A107</f>
        <v>1</v>
      </c>
      <c r="B107" s="51" t="str">
        <f>'A.1_Tabla Costes Subrogación'!B107</f>
        <v xml:space="preserve"> OFICIAL JARD.  </v>
      </c>
      <c r="C107" s="51"/>
      <c r="D107" s="51"/>
      <c r="E107" s="151">
        <f>'A.1_Tabla Costes Subrogación'!E107</f>
        <v>35966</v>
      </c>
      <c r="F107" s="152">
        <f t="shared" si="48"/>
        <v>1998</v>
      </c>
      <c r="G107" s="153">
        <f t="shared" si="49"/>
        <v>2025</v>
      </c>
      <c r="H107" s="153">
        <f t="shared" si="50"/>
        <v>27</v>
      </c>
      <c r="I107" s="153">
        <f t="shared" si="49"/>
        <v>2033</v>
      </c>
      <c r="J107" s="153">
        <f t="shared" si="51"/>
        <v>35</v>
      </c>
      <c r="K107" s="153">
        <f t="shared" si="52"/>
        <v>31</v>
      </c>
      <c r="L107" s="157">
        <f t="shared" si="64"/>
        <v>0</v>
      </c>
      <c r="M107" s="157">
        <f t="shared" si="65"/>
        <v>0</v>
      </c>
      <c r="N107" s="157">
        <f t="shared" si="66"/>
        <v>0</v>
      </c>
      <c r="O107" s="157">
        <f t="shared" si="67"/>
        <v>0</v>
      </c>
      <c r="P107" s="157">
        <f t="shared" si="68"/>
        <v>0</v>
      </c>
      <c r="Q107" s="157">
        <f t="shared" si="69"/>
        <v>0</v>
      </c>
      <c r="R107" s="157">
        <f t="shared" si="70"/>
        <v>0</v>
      </c>
      <c r="S107" s="157">
        <f t="shared" si="71"/>
        <v>0</v>
      </c>
      <c r="T107" s="157">
        <f t="shared" si="72"/>
        <v>0</v>
      </c>
      <c r="U107" s="157">
        <f t="shared" si="73"/>
        <v>421.15</v>
      </c>
      <c r="V107" s="157">
        <f t="shared" si="74"/>
        <v>421.15</v>
      </c>
    </row>
    <row r="108" spans="1:22">
      <c r="A108" s="47">
        <f>'A.1_Tabla Costes Subrogación'!A108</f>
        <v>1</v>
      </c>
      <c r="B108" s="51" t="str">
        <f>'A.1_Tabla Costes Subrogación'!B108</f>
        <v xml:space="preserve"> OFICIAL JARD.  </v>
      </c>
      <c r="C108" s="51"/>
      <c r="D108" s="51"/>
      <c r="E108" s="151">
        <f>'A.1_Tabla Costes Subrogación'!E108</f>
        <v>38827</v>
      </c>
      <c r="F108" s="152">
        <f t="shared" si="48"/>
        <v>2006</v>
      </c>
      <c r="G108" s="153">
        <f t="shared" si="49"/>
        <v>2025</v>
      </c>
      <c r="H108" s="153">
        <f t="shared" si="50"/>
        <v>19</v>
      </c>
      <c r="I108" s="153">
        <f t="shared" si="49"/>
        <v>2033</v>
      </c>
      <c r="J108" s="153">
        <f t="shared" si="51"/>
        <v>27</v>
      </c>
      <c r="K108" s="153">
        <f t="shared" si="52"/>
        <v>23</v>
      </c>
      <c r="L108" s="157">
        <f t="shared" si="64"/>
        <v>0</v>
      </c>
      <c r="M108" s="157">
        <f t="shared" si="65"/>
        <v>0</v>
      </c>
      <c r="N108" s="157">
        <f t="shared" si="66"/>
        <v>0</v>
      </c>
      <c r="O108" s="157">
        <f t="shared" si="67"/>
        <v>0</v>
      </c>
      <c r="P108" s="157">
        <f t="shared" si="68"/>
        <v>0</v>
      </c>
      <c r="Q108" s="157">
        <f t="shared" si="69"/>
        <v>0</v>
      </c>
      <c r="R108" s="157">
        <f t="shared" si="70"/>
        <v>0</v>
      </c>
      <c r="S108" s="157">
        <f t="shared" si="71"/>
        <v>343.31</v>
      </c>
      <c r="T108" s="157">
        <f t="shared" si="72"/>
        <v>0</v>
      </c>
      <c r="U108" s="157">
        <f t="shared" si="73"/>
        <v>0</v>
      </c>
      <c r="V108" s="157">
        <f t="shared" si="74"/>
        <v>343.31</v>
      </c>
    </row>
    <row r="109" spans="1:22">
      <c r="A109" s="47">
        <f>'A.1_Tabla Costes Subrogación'!A109</f>
        <v>1</v>
      </c>
      <c r="B109" s="51" t="str">
        <f>'A.1_Tabla Costes Subrogación'!B109</f>
        <v xml:space="preserve"> OFICIAL JARD.  </v>
      </c>
      <c r="C109" s="51"/>
      <c r="D109" s="51"/>
      <c r="E109" s="151">
        <f>'A.1_Tabla Costes Subrogación'!E109</f>
        <v>38749</v>
      </c>
      <c r="F109" s="152">
        <f t="shared" si="48"/>
        <v>2006</v>
      </c>
      <c r="G109" s="153">
        <f t="shared" si="49"/>
        <v>2025</v>
      </c>
      <c r="H109" s="153">
        <f t="shared" si="50"/>
        <v>19</v>
      </c>
      <c r="I109" s="153">
        <f t="shared" si="49"/>
        <v>2033</v>
      </c>
      <c r="J109" s="153">
        <f t="shared" si="51"/>
        <v>27</v>
      </c>
      <c r="K109" s="153">
        <f t="shared" si="52"/>
        <v>23</v>
      </c>
      <c r="L109" s="157">
        <f t="shared" si="64"/>
        <v>0</v>
      </c>
      <c r="M109" s="157">
        <f t="shared" si="65"/>
        <v>0</v>
      </c>
      <c r="N109" s="157">
        <f t="shared" si="66"/>
        <v>0</v>
      </c>
      <c r="O109" s="157">
        <f t="shared" si="67"/>
        <v>0</v>
      </c>
      <c r="P109" s="157">
        <f t="shared" si="68"/>
        <v>0</v>
      </c>
      <c r="Q109" s="157">
        <f t="shared" si="69"/>
        <v>0</v>
      </c>
      <c r="R109" s="157">
        <f t="shared" si="70"/>
        <v>0</v>
      </c>
      <c r="S109" s="157">
        <f t="shared" si="71"/>
        <v>343.31</v>
      </c>
      <c r="T109" s="157">
        <f t="shared" si="72"/>
        <v>0</v>
      </c>
      <c r="U109" s="157">
        <f t="shared" si="73"/>
        <v>0</v>
      </c>
      <c r="V109" s="157">
        <f t="shared" si="74"/>
        <v>343.31</v>
      </c>
    </row>
    <row r="110" spans="1:22">
      <c r="A110" s="47">
        <f>'A.1_Tabla Costes Subrogación'!A110</f>
        <v>1</v>
      </c>
      <c r="B110" s="51" t="str">
        <f>'A.1_Tabla Costes Subrogación'!B110</f>
        <v xml:space="preserve"> OFICIAL JARD.  </v>
      </c>
      <c r="C110" s="51"/>
      <c r="D110" s="51"/>
      <c r="E110" s="151">
        <f>'A.1_Tabla Costes Subrogación'!E110</f>
        <v>37653</v>
      </c>
      <c r="F110" s="152">
        <f t="shared" si="48"/>
        <v>2003</v>
      </c>
      <c r="G110" s="153">
        <f t="shared" si="49"/>
        <v>2025</v>
      </c>
      <c r="H110" s="153">
        <f t="shared" si="50"/>
        <v>22</v>
      </c>
      <c r="I110" s="153">
        <f t="shared" si="49"/>
        <v>2033</v>
      </c>
      <c r="J110" s="153">
        <f t="shared" si="51"/>
        <v>30</v>
      </c>
      <c r="K110" s="153">
        <f t="shared" si="52"/>
        <v>26</v>
      </c>
      <c r="L110" s="157">
        <f t="shared" si="64"/>
        <v>0</v>
      </c>
      <c r="M110" s="157">
        <f t="shared" si="65"/>
        <v>0</v>
      </c>
      <c r="N110" s="157">
        <f t="shared" si="66"/>
        <v>0</v>
      </c>
      <c r="O110" s="157">
        <f t="shared" si="67"/>
        <v>0</v>
      </c>
      <c r="P110" s="157">
        <f t="shared" si="68"/>
        <v>0</v>
      </c>
      <c r="Q110" s="157">
        <f t="shared" si="69"/>
        <v>0</v>
      </c>
      <c r="R110" s="157">
        <f t="shared" si="70"/>
        <v>0</v>
      </c>
      <c r="S110" s="157">
        <f t="shared" si="71"/>
        <v>0</v>
      </c>
      <c r="T110" s="157">
        <f t="shared" si="72"/>
        <v>385.86</v>
      </c>
      <c r="U110" s="157">
        <f t="shared" si="73"/>
        <v>0</v>
      </c>
      <c r="V110" s="157">
        <f t="shared" si="74"/>
        <v>385.86</v>
      </c>
    </row>
    <row r="111" spans="1:22">
      <c r="A111" s="47">
        <f>'A.1_Tabla Costes Subrogación'!A111</f>
        <v>0</v>
      </c>
      <c r="B111" s="51" t="str">
        <f>'A.1_Tabla Costes Subrogación'!B111</f>
        <v xml:space="preserve"> OFICIAL JARD.  </v>
      </c>
      <c r="C111" s="51"/>
      <c r="D111" s="51"/>
      <c r="E111" s="151">
        <f>'A.1_Tabla Costes Subrogación'!E111</f>
        <v>39618</v>
      </c>
      <c r="F111" s="152">
        <f t="shared" si="48"/>
        <v>2008</v>
      </c>
      <c r="G111" s="153">
        <f t="shared" si="49"/>
        <v>2025</v>
      </c>
      <c r="H111" s="153">
        <f t="shared" si="50"/>
        <v>17</v>
      </c>
      <c r="I111" s="153">
        <f t="shared" si="49"/>
        <v>2033</v>
      </c>
      <c r="J111" s="153">
        <f t="shared" si="51"/>
        <v>25</v>
      </c>
      <c r="K111" s="153">
        <f t="shared" si="52"/>
        <v>21</v>
      </c>
      <c r="L111" s="157">
        <f t="shared" si="64"/>
        <v>0</v>
      </c>
      <c r="M111" s="157">
        <f t="shared" si="65"/>
        <v>0</v>
      </c>
      <c r="N111" s="157">
        <f t="shared" si="66"/>
        <v>0</v>
      </c>
      <c r="O111" s="157">
        <f t="shared" si="67"/>
        <v>0</v>
      </c>
      <c r="P111" s="157">
        <f t="shared" si="68"/>
        <v>0</v>
      </c>
      <c r="Q111" s="157">
        <f t="shared" si="69"/>
        <v>0</v>
      </c>
      <c r="R111" s="157">
        <f t="shared" si="70"/>
        <v>280.79000000000002</v>
      </c>
      <c r="S111" s="157">
        <f t="shared" si="71"/>
        <v>0</v>
      </c>
      <c r="T111" s="157">
        <f t="shared" si="72"/>
        <v>0</v>
      </c>
      <c r="U111" s="157">
        <f t="shared" si="73"/>
        <v>0</v>
      </c>
      <c r="V111" s="157">
        <f t="shared" si="74"/>
        <v>0</v>
      </c>
    </row>
    <row r="112" spans="1:22">
      <c r="A112" s="47">
        <f>'A.1_Tabla Costes Subrogación'!A112</f>
        <v>0</v>
      </c>
      <c r="B112" s="51" t="str">
        <f>'A.1_Tabla Costes Subrogación'!B112</f>
        <v xml:space="preserve"> OFICIAL JARD.  </v>
      </c>
      <c r="C112" s="51"/>
      <c r="D112" s="51"/>
      <c r="E112" s="151">
        <f>'A.1_Tabla Costes Subrogación'!E112</f>
        <v>41230</v>
      </c>
      <c r="F112" s="152">
        <f t="shared" si="48"/>
        <v>2012</v>
      </c>
      <c r="G112" s="153">
        <f t="shared" si="49"/>
        <v>2025</v>
      </c>
      <c r="H112" s="153">
        <f t="shared" si="50"/>
        <v>13</v>
      </c>
      <c r="I112" s="153">
        <f t="shared" si="49"/>
        <v>2033</v>
      </c>
      <c r="J112" s="153">
        <f t="shared" si="51"/>
        <v>21</v>
      </c>
      <c r="K112" s="153">
        <f t="shared" si="52"/>
        <v>17</v>
      </c>
      <c r="L112" s="157">
        <f t="shared" si="64"/>
        <v>0</v>
      </c>
      <c r="M112" s="157">
        <f t="shared" si="65"/>
        <v>0</v>
      </c>
      <c r="N112" s="157">
        <f t="shared" si="66"/>
        <v>0</v>
      </c>
      <c r="O112" s="157">
        <f t="shared" si="67"/>
        <v>0</v>
      </c>
      <c r="P112" s="157">
        <f t="shared" si="68"/>
        <v>219.94</v>
      </c>
      <c r="Q112" s="157">
        <f t="shared" si="69"/>
        <v>0</v>
      </c>
      <c r="R112" s="157">
        <f t="shared" si="70"/>
        <v>0</v>
      </c>
      <c r="S112" s="157">
        <f t="shared" si="71"/>
        <v>0</v>
      </c>
      <c r="T112" s="157">
        <f t="shared" si="72"/>
        <v>0</v>
      </c>
      <c r="U112" s="157">
        <f t="shared" si="73"/>
        <v>0</v>
      </c>
      <c r="V112" s="157">
        <f t="shared" si="74"/>
        <v>0</v>
      </c>
    </row>
    <row r="113" spans="1:22">
      <c r="A113" s="47">
        <f>'A.1_Tabla Costes Subrogación'!A113</f>
        <v>0</v>
      </c>
      <c r="B113" s="51" t="str">
        <f>'A.1_Tabla Costes Subrogación'!B113</f>
        <v xml:space="preserve"> OFICIAL JARD.  </v>
      </c>
      <c r="C113" s="51"/>
      <c r="D113" s="51"/>
      <c r="E113" s="151">
        <f>'A.1_Tabla Costes Subrogación'!E113</f>
        <v>41230</v>
      </c>
      <c r="F113" s="152">
        <f t="shared" si="48"/>
        <v>2012</v>
      </c>
      <c r="G113" s="153">
        <f t="shared" si="49"/>
        <v>2025</v>
      </c>
      <c r="H113" s="153">
        <f t="shared" si="50"/>
        <v>13</v>
      </c>
      <c r="I113" s="153">
        <f t="shared" si="49"/>
        <v>2033</v>
      </c>
      <c r="J113" s="153">
        <f t="shared" si="51"/>
        <v>21</v>
      </c>
      <c r="K113" s="153">
        <f t="shared" si="52"/>
        <v>17</v>
      </c>
      <c r="L113" s="157">
        <f t="shared" si="64"/>
        <v>0</v>
      </c>
      <c r="M113" s="157">
        <f t="shared" si="65"/>
        <v>0</v>
      </c>
      <c r="N113" s="157">
        <f t="shared" si="66"/>
        <v>0</v>
      </c>
      <c r="O113" s="157">
        <f t="shared" si="67"/>
        <v>0</v>
      </c>
      <c r="P113" s="157">
        <f t="shared" si="68"/>
        <v>219.94</v>
      </c>
      <c r="Q113" s="157">
        <f t="shared" si="69"/>
        <v>0</v>
      </c>
      <c r="R113" s="157">
        <f t="shared" si="70"/>
        <v>0</v>
      </c>
      <c r="S113" s="157">
        <f t="shared" si="71"/>
        <v>0</v>
      </c>
      <c r="T113" s="157">
        <f t="shared" si="72"/>
        <v>0</v>
      </c>
      <c r="U113" s="157">
        <f t="shared" si="73"/>
        <v>0</v>
      </c>
      <c r="V113" s="157">
        <f t="shared" si="74"/>
        <v>0</v>
      </c>
    </row>
    <row r="114" spans="1:22">
      <c r="A114" s="47">
        <f>'A.1_Tabla Costes Subrogación'!A114</f>
        <v>0</v>
      </c>
      <c r="B114" s="51" t="str">
        <f>'A.1_Tabla Costes Subrogación'!B114</f>
        <v xml:space="preserve"> OFICIAL JARD.  </v>
      </c>
      <c r="C114" s="51"/>
      <c r="D114" s="51"/>
      <c r="E114" s="151">
        <f>'A.1_Tabla Costes Subrogación'!E114</f>
        <v>41230</v>
      </c>
      <c r="F114" s="152">
        <f t="shared" si="48"/>
        <v>2012</v>
      </c>
      <c r="G114" s="153">
        <f t="shared" si="49"/>
        <v>2025</v>
      </c>
      <c r="H114" s="153">
        <f t="shared" si="50"/>
        <v>13</v>
      </c>
      <c r="I114" s="153">
        <f t="shared" si="49"/>
        <v>2033</v>
      </c>
      <c r="J114" s="153">
        <f t="shared" si="51"/>
        <v>21</v>
      </c>
      <c r="K114" s="153">
        <f t="shared" si="52"/>
        <v>17</v>
      </c>
      <c r="L114" s="157">
        <f t="shared" si="64"/>
        <v>0</v>
      </c>
      <c r="M114" s="157">
        <f t="shared" si="65"/>
        <v>0</v>
      </c>
      <c r="N114" s="157">
        <f t="shared" si="66"/>
        <v>0</v>
      </c>
      <c r="O114" s="157">
        <f t="shared" si="67"/>
        <v>0</v>
      </c>
      <c r="P114" s="157">
        <f t="shared" si="68"/>
        <v>219.94</v>
      </c>
      <c r="Q114" s="157">
        <f t="shared" si="69"/>
        <v>0</v>
      </c>
      <c r="R114" s="157">
        <f t="shared" si="70"/>
        <v>0</v>
      </c>
      <c r="S114" s="157">
        <f t="shared" si="71"/>
        <v>0</v>
      </c>
      <c r="T114" s="157">
        <f t="shared" si="72"/>
        <v>0</v>
      </c>
      <c r="U114" s="157">
        <f t="shared" si="73"/>
        <v>0</v>
      </c>
      <c r="V114" s="157">
        <f t="shared" si="74"/>
        <v>0</v>
      </c>
    </row>
    <row r="115" spans="1:22">
      <c r="A115" s="47">
        <f>'A.1_Tabla Costes Subrogación'!A115</f>
        <v>0</v>
      </c>
      <c r="B115" s="51" t="str">
        <f>'A.1_Tabla Costes Subrogación'!B115</f>
        <v xml:space="preserve"> OFICIAL JARD.  </v>
      </c>
      <c r="C115" s="51"/>
      <c r="D115" s="51"/>
      <c r="E115" s="151">
        <f>'A.1_Tabla Costes Subrogación'!E115</f>
        <v>41230</v>
      </c>
      <c r="F115" s="152">
        <f t="shared" si="48"/>
        <v>2012</v>
      </c>
      <c r="G115" s="153">
        <f t="shared" si="49"/>
        <v>2025</v>
      </c>
      <c r="H115" s="153">
        <f t="shared" si="50"/>
        <v>13</v>
      </c>
      <c r="I115" s="153">
        <f t="shared" si="49"/>
        <v>2033</v>
      </c>
      <c r="J115" s="153">
        <f t="shared" si="51"/>
        <v>21</v>
      </c>
      <c r="K115" s="153">
        <f t="shared" si="52"/>
        <v>17</v>
      </c>
      <c r="L115" s="157">
        <f t="shared" si="64"/>
        <v>0</v>
      </c>
      <c r="M115" s="157">
        <f t="shared" si="65"/>
        <v>0</v>
      </c>
      <c r="N115" s="157">
        <f t="shared" si="66"/>
        <v>0</v>
      </c>
      <c r="O115" s="157">
        <f t="shared" si="67"/>
        <v>0</v>
      </c>
      <c r="P115" s="157">
        <f t="shared" si="68"/>
        <v>219.94</v>
      </c>
      <c r="Q115" s="157">
        <f t="shared" si="69"/>
        <v>0</v>
      </c>
      <c r="R115" s="157">
        <f t="shared" si="70"/>
        <v>0</v>
      </c>
      <c r="S115" s="157">
        <f t="shared" si="71"/>
        <v>0</v>
      </c>
      <c r="T115" s="157">
        <f t="shared" si="72"/>
        <v>0</v>
      </c>
      <c r="U115" s="157">
        <f t="shared" si="73"/>
        <v>0</v>
      </c>
      <c r="V115" s="157">
        <f t="shared" si="74"/>
        <v>0</v>
      </c>
    </row>
    <row r="116" spans="1:22">
      <c r="A116" s="47">
        <f>'A.1_Tabla Costes Subrogación'!A116</f>
        <v>0</v>
      </c>
      <c r="B116" s="51" t="str">
        <f>'A.1_Tabla Costes Subrogación'!B116</f>
        <v xml:space="preserve"> OFICIAL JARD.  </v>
      </c>
      <c r="C116" s="51"/>
      <c r="D116" s="51"/>
      <c r="E116" s="151">
        <f>'A.1_Tabla Costes Subrogación'!E116</f>
        <v>38972</v>
      </c>
      <c r="F116" s="152">
        <f t="shared" si="48"/>
        <v>2006</v>
      </c>
      <c r="G116" s="153">
        <f t="shared" si="49"/>
        <v>2025</v>
      </c>
      <c r="H116" s="153">
        <f t="shared" si="50"/>
        <v>19</v>
      </c>
      <c r="I116" s="153">
        <f t="shared" si="49"/>
        <v>2033</v>
      </c>
      <c r="J116" s="153">
        <f t="shared" si="51"/>
        <v>27</v>
      </c>
      <c r="K116" s="153">
        <f t="shared" si="52"/>
        <v>23</v>
      </c>
      <c r="L116" s="157">
        <f t="shared" si="64"/>
        <v>0</v>
      </c>
      <c r="M116" s="157">
        <f t="shared" si="65"/>
        <v>0</v>
      </c>
      <c r="N116" s="157">
        <f t="shared" si="66"/>
        <v>0</v>
      </c>
      <c r="O116" s="157">
        <f t="shared" si="67"/>
        <v>0</v>
      </c>
      <c r="P116" s="157">
        <f t="shared" si="68"/>
        <v>0</v>
      </c>
      <c r="Q116" s="157">
        <f t="shared" si="69"/>
        <v>0</v>
      </c>
      <c r="R116" s="157">
        <f t="shared" si="70"/>
        <v>0</v>
      </c>
      <c r="S116" s="157">
        <f t="shared" si="71"/>
        <v>343.31</v>
      </c>
      <c r="T116" s="157">
        <f t="shared" si="72"/>
        <v>0</v>
      </c>
      <c r="U116" s="157">
        <f t="shared" si="73"/>
        <v>0</v>
      </c>
      <c r="V116" s="157">
        <f t="shared" si="74"/>
        <v>0</v>
      </c>
    </row>
    <row r="117" spans="1:22">
      <c r="A117" s="154"/>
      <c r="B117" s="154"/>
      <c r="C117" s="154"/>
      <c r="D117" s="154"/>
      <c r="E117" s="154"/>
      <c r="F117" s="154"/>
      <c r="G117" s="154"/>
      <c r="H117" s="154"/>
      <c r="I117" s="154"/>
      <c r="J117" s="154"/>
      <c r="K117" s="154"/>
      <c r="L117" s="154"/>
      <c r="M117" s="154"/>
      <c r="N117" s="154"/>
      <c r="O117" s="154"/>
      <c r="P117" s="154"/>
      <c r="Q117" s="154"/>
      <c r="R117" s="154"/>
      <c r="S117" s="154"/>
      <c r="T117" s="154"/>
      <c r="U117" s="154"/>
      <c r="V117" s="154"/>
    </row>
    <row r="118" spans="1:22">
      <c r="A118" s="47">
        <f>'A.1_Tabla Costes Subrogación'!A118</f>
        <v>1</v>
      </c>
      <c r="B118" s="51" t="str">
        <f>'A.1_Tabla Costes Subrogación'!B118</f>
        <v xml:space="preserve"> ENCARGADO/A</v>
      </c>
      <c r="C118" s="51"/>
      <c r="D118" s="51"/>
      <c r="E118" s="151">
        <f>'A.1_Tabla Costes Subrogación'!E118</f>
        <v>39284</v>
      </c>
      <c r="F118" s="152">
        <f>YEAR(E118)</f>
        <v>2007</v>
      </c>
      <c r="G118" s="153">
        <f>G$4</f>
        <v>2025</v>
      </c>
      <c r="H118" s="153">
        <f>G118-F118</f>
        <v>18</v>
      </c>
      <c r="I118" s="153">
        <f>I$4</f>
        <v>2033</v>
      </c>
      <c r="J118" s="153">
        <f>I118-F118</f>
        <v>26</v>
      </c>
      <c r="K118" s="153">
        <f>(H118+J118)/2</f>
        <v>22</v>
      </c>
      <c r="L118" s="157">
        <f>IF(AND(K118&gt;0,K118&lt;3),L$135,0)</f>
        <v>0</v>
      </c>
      <c r="M118" s="157">
        <f>IF(AND(K118&gt;2,K118&lt;7),M$135,0)</f>
        <v>0</v>
      </c>
      <c r="N118" s="157">
        <f>IF(AND(K118&gt;6,K118&lt;11),N$135,0)</f>
        <v>0</v>
      </c>
      <c r="O118" s="157">
        <f>IF(AND(K118&gt;10,K118&lt;15),O$135,0)</f>
        <v>0</v>
      </c>
      <c r="P118" s="157">
        <f>IF(AND(K118&gt;14,K118&lt;19),P$135,0)</f>
        <v>0</v>
      </c>
      <c r="Q118" s="157">
        <f>IF(AND(K118&gt;18,K118&lt;20),Q$135,0)</f>
        <v>0</v>
      </c>
      <c r="R118" s="157">
        <f>IF(AND(K118&gt;20,K118&lt;23),R$135,0)</f>
        <v>280.79000000000002</v>
      </c>
      <c r="S118" s="157">
        <f>IF(AND(K118&gt;22,K118&lt;25),S$135,0)</f>
        <v>0</v>
      </c>
      <c r="T118" s="157">
        <f>IF(AND(K118&gt;24,K118&lt;27),T$135,0)</f>
        <v>0</v>
      </c>
      <c r="U118" s="157">
        <f>IF(K118&gt;26,U$135,0)</f>
        <v>0</v>
      </c>
      <c r="V118" s="157">
        <f>IF(A118&gt;0,(SUM(L118:U118)),0)</f>
        <v>280.79000000000002</v>
      </c>
    </row>
    <row r="119" spans="1:22">
      <c r="A119" s="47">
        <f>'A.1_Tabla Costes Subrogación'!A119</f>
        <v>1</v>
      </c>
      <c r="B119" s="51" t="str">
        <f>'A.1_Tabla Costes Subrogación'!B119</f>
        <v xml:space="preserve"> ENCARGADO/A</v>
      </c>
      <c r="C119" s="51"/>
      <c r="D119" s="51"/>
      <c r="E119" s="151">
        <f>'A.1_Tabla Costes Subrogación'!E119</f>
        <v>39285</v>
      </c>
      <c r="F119" s="152">
        <f>YEAR(E119)</f>
        <v>2007</v>
      </c>
      <c r="G119" s="153">
        <f>G$4</f>
        <v>2025</v>
      </c>
      <c r="H119" s="153">
        <f>G119-F119</f>
        <v>18</v>
      </c>
      <c r="I119" s="153">
        <f>I$4</f>
        <v>2033</v>
      </c>
      <c r="J119" s="153">
        <f>I119-F119</f>
        <v>26</v>
      </c>
      <c r="K119" s="153">
        <f>(H119+J119)/2</f>
        <v>22</v>
      </c>
      <c r="L119" s="157">
        <f>IF(AND(K119&gt;0,K119&lt;3),L$135,0)</f>
        <v>0</v>
      </c>
      <c r="M119" s="157">
        <f>IF(AND(K119&gt;2,K119&lt;7),M$135,0)</f>
        <v>0</v>
      </c>
      <c r="N119" s="157">
        <f>IF(AND(K119&gt;6,K119&lt;11),N$135,0)</f>
        <v>0</v>
      </c>
      <c r="O119" s="157">
        <f>IF(AND(K119&gt;10,K119&lt;15),O$135,0)</f>
        <v>0</v>
      </c>
      <c r="P119" s="157">
        <f>IF(AND(K119&gt;14,K119&lt;19),P$135,0)</f>
        <v>0</v>
      </c>
      <c r="Q119" s="157">
        <f>IF(AND(K119&gt;18,K119&lt;20),Q$135,0)</f>
        <v>0</v>
      </c>
      <c r="R119" s="157">
        <f>IF(AND(K119&gt;20,K119&lt;23),R$135,0)</f>
        <v>280.79000000000002</v>
      </c>
      <c r="S119" s="157">
        <f>IF(AND(K119&gt;22,K119&lt;25),S$135,0)</f>
        <v>0</v>
      </c>
      <c r="T119" s="157">
        <f>IF(AND(K119&gt;24,K119&lt;27),T$135,0)</f>
        <v>0</v>
      </c>
      <c r="U119" s="157">
        <f>IF(K119&gt;26,U$135,0)</f>
        <v>0</v>
      </c>
      <c r="V119" s="157">
        <f>IF(A119&gt;0,(SUM(L119:U119)),0)</f>
        <v>280.79000000000002</v>
      </c>
    </row>
    <row r="120" spans="1:22">
      <c r="A120" s="47">
        <f>'A.1_Tabla Costes Subrogación'!A120</f>
        <v>1</v>
      </c>
      <c r="B120" s="51" t="str">
        <f>'A.1_Tabla Costes Subrogación'!B120</f>
        <v xml:space="preserve"> ENCARGADO/A</v>
      </c>
      <c r="C120" s="51"/>
      <c r="D120" s="51"/>
      <c r="E120" s="151">
        <f>'A.1_Tabla Costes Subrogación'!E120</f>
        <v>39286</v>
      </c>
      <c r="F120" s="152">
        <f>YEAR(E120)</f>
        <v>2007</v>
      </c>
      <c r="G120" s="153">
        <f>G$4</f>
        <v>2025</v>
      </c>
      <c r="H120" s="153">
        <f>G120-F120</f>
        <v>18</v>
      </c>
      <c r="I120" s="153">
        <f>I$4</f>
        <v>2033</v>
      </c>
      <c r="J120" s="153">
        <f>I120-F120</f>
        <v>26</v>
      </c>
      <c r="K120" s="153">
        <f>(H120+J120)/2</f>
        <v>22</v>
      </c>
      <c r="L120" s="157">
        <f>IF(AND(K120&gt;0,K120&lt;3),L$135,0)</f>
        <v>0</v>
      </c>
      <c r="M120" s="157">
        <f>IF(AND(K120&gt;2,K120&lt;7),M$135,0)</f>
        <v>0</v>
      </c>
      <c r="N120" s="157">
        <f>IF(AND(K120&gt;6,K120&lt;11),N$135,0)</f>
        <v>0</v>
      </c>
      <c r="O120" s="157">
        <f>IF(AND(K120&gt;10,K120&lt;15),O$135,0)</f>
        <v>0</v>
      </c>
      <c r="P120" s="157">
        <f>IF(AND(K120&gt;14,K120&lt;19),P$135,0)</f>
        <v>0</v>
      </c>
      <c r="Q120" s="157">
        <f>IF(AND(K120&gt;18,K120&lt;20),Q$135,0)</f>
        <v>0</v>
      </c>
      <c r="R120" s="157">
        <f>IF(AND(K120&gt;20,K120&lt;23),R$135,0)</f>
        <v>280.79000000000002</v>
      </c>
      <c r="S120" s="157">
        <f>IF(AND(K120&gt;22,K120&lt;25),S$135,0)</f>
        <v>0</v>
      </c>
      <c r="T120" s="157">
        <f>IF(AND(K120&gt;24,K120&lt;27),T$135,0)</f>
        <v>0</v>
      </c>
      <c r="U120" s="157">
        <f>IF(K120&gt;26,U$135,0)</f>
        <v>0</v>
      </c>
      <c r="V120" s="157">
        <f>IF(A120&gt;0,(SUM(L120:U120)),0)</f>
        <v>280.79000000000002</v>
      </c>
    </row>
    <row r="121" spans="1:22">
      <c r="A121" s="47">
        <f>'A.1_Tabla Costes Subrogación'!A121</f>
        <v>1</v>
      </c>
      <c r="B121" s="51" t="str">
        <f>'A.1_Tabla Costes Subrogación'!B121</f>
        <v xml:space="preserve"> ENCARGADO/A</v>
      </c>
      <c r="C121" s="51"/>
      <c r="D121" s="51"/>
      <c r="E121" s="151">
        <f>'A.1_Tabla Costes Subrogación'!E121</f>
        <v>39287</v>
      </c>
      <c r="F121" s="152">
        <f>YEAR(E121)</f>
        <v>2007</v>
      </c>
      <c r="G121" s="153">
        <f>G$4</f>
        <v>2025</v>
      </c>
      <c r="H121" s="153">
        <f>G121-F121</f>
        <v>18</v>
      </c>
      <c r="I121" s="153">
        <f>I$4</f>
        <v>2033</v>
      </c>
      <c r="J121" s="153">
        <f>I121-F121</f>
        <v>26</v>
      </c>
      <c r="K121" s="153">
        <f>(H121+J121)/2</f>
        <v>22</v>
      </c>
      <c r="L121" s="157">
        <f>IF(AND(K121&gt;0,K121&lt;3),L$135,0)</f>
        <v>0</v>
      </c>
      <c r="M121" s="157">
        <f>IF(AND(K121&gt;2,K121&lt;7),M$135,0)</f>
        <v>0</v>
      </c>
      <c r="N121" s="157">
        <f>IF(AND(K121&gt;6,K121&lt;11),N$135,0)</f>
        <v>0</v>
      </c>
      <c r="O121" s="157">
        <f>IF(AND(K121&gt;10,K121&lt;15),O$135,0)</f>
        <v>0</v>
      </c>
      <c r="P121" s="157">
        <f>IF(AND(K121&gt;14,K121&lt;19),P$135,0)</f>
        <v>0</v>
      </c>
      <c r="Q121" s="157">
        <f>IF(AND(K121&gt;18,K121&lt;20),Q$135,0)</f>
        <v>0</v>
      </c>
      <c r="R121" s="157">
        <f>IF(AND(K121&gt;20,K121&lt;23),R$135,0)</f>
        <v>280.79000000000002</v>
      </c>
      <c r="S121" s="157">
        <f>IF(AND(K121&gt;22,K121&lt;25),S$135,0)</f>
        <v>0</v>
      </c>
      <c r="T121" s="157">
        <f>IF(AND(K121&gt;24,K121&lt;27),T$135,0)</f>
        <v>0</v>
      </c>
      <c r="U121" s="157">
        <f>IF(K121&gt;26,U$135,0)</f>
        <v>0</v>
      </c>
      <c r="V121" s="157">
        <f>IF(A121&gt;0,(SUM(L121:U121)),0)</f>
        <v>280.79000000000002</v>
      </c>
    </row>
    <row r="122" spans="1:22">
      <c r="A122" s="47">
        <f>'A.1_Tabla Costes Subrogación'!A122</f>
        <v>0</v>
      </c>
      <c r="B122" s="51" t="str">
        <f>'A.1_Tabla Costes Subrogación'!B122</f>
        <v xml:space="preserve"> ENCARGADO/A</v>
      </c>
      <c r="C122" s="51"/>
      <c r="D122" s="51"/>
      <c r="E122" s="151">
        <f>'A.1_Tabla Costes Subrogación'!E122</f>
        <v>39284</v>
      </c>
      <c r="F122" s="152">
        <f>YEAR(E122)</f>
        <v>2007</v>
      </c>
      <c r="G122" s="153">
        <f>G$4</f>
        <v>2025</v>
      </c>
      <c r="H122" s="153">
        <f>G122-F122</f>
        <v>18</v>
      </c>
      <c r="I122" s="153">
        <f>I$4</f>
        <v>2033</v>
      </c>
      <c r="J122" s="153">
        <f>I122-F122</f>
        <v>26</v>
      </c>
      <c r="K122" s="153">
        <f>(H122+J122)/2</f>
        <v>22</v>
      </c>
      <c r="L122" s="157">
        <f>IF(AND(K122&gt;0,K122&lt;3),L$135,0)</f>
        <v>0</v>
      </c>
      <c r="M122" s="157">
        <f>IF(AND(K122&gt;2,K122&lt;7),M$135,0)</f>
        <v>0</v>
      </c>
      <c r="N122" s="157">
        <f>IF(AND(K122&gt;6,K122&lt;11),N$135,0)</f>
        <v>0</v>
      </c>
      <c r="O122" s="157">
        <f>IF(AND(K122&gt;10,K122&lt;15),O$135,0)</f>
        <v>0</v>
      </c>
      <c r="P122" s="157">
        <f>IF(AND(K122&gt;14,K122&lt;19),P$135,0)</f>
        <v>0</v>
      </c>
      <c r="Q122" s="157">
        <f>IF(AND(K122&gt;18,K122&lt;20),Q$135,0)</f>
        <v>0</v>
      </c>
      <c r="R122" s="157">
        <f>IF(AND(K122&gt;20,K122&lt;23),R$135,0)</f>
        <v>280.79000000000002</v>
      </c>
      <c r="S122" s="157">
        <f>IF(AND(K122&gt;22,K122&lt;25),S$135,0)</f>
        <v>0</v>
      </c>
      <c r="T122" s="157">
        <f>IF(AND(K122&gt;24,K122&lt;27),T$135,0)</f>
        <v>0</v>
      </c>
      <c r="U122" s="157">
        <f>IF(K122&gt;26,U$135,0)</f>
        <v>0</v>
      </c>
      <c r="V122" s="157">
        <f>IF(A122&gt;0,(SUM(L122:U122)),0)</f>
        <v>0</v>
      </c>
    </row>
    <row r="123" spans="1:22">
      <c r="A123" s="154"/>
      <c r="B123" s="154"/>
      <c r="C123" s="154"/>
      <c r="D123" s="154"/>
      <c r="E123" s="154"/>
      <c r="F123" s="154"/>
      <c r="G123" s="154"/>
      <c r="H123" s="154"/>
      <c r="I123" s="154"/>
      <c r="J123" s="154"/>
      <c r="K123" s="154"/>
      <c r="L123" s="154"/>
      <c r="M123" s="154"/>
      <c r="N123" s="154"/>
      <c r="O123" s="154"/>
      <c r="P123" s="154"/>
      <c r="Q123" s="154"/>
      <c r="R123" s="154"/>
      <c r="S123" s="154"/>
      <c r="T123" s="154"/>
      <c r="U123" s="154"/>
      <c r="V123" s="154"/>
    </row>
    <row r="124" spans="1:22">
      <c r="A124" s="47">
        <f>'A.1_Tabla Costes Subrogación'!A124</f>
        <v>1</v>
      </c>
      <c r="B124" s="51" t="str">
        <f>'A.1_Tabla Costes Subrogación'!B124</f>
        <v xml:space="preserve"> TÉCNICO/A DIPLOMADO/A  </v>
      </c>
      <c r="C124" s="51"/>
      <c r="D124" s="51"/>
      <c r="E124" s="151">
        <f>'A.1_Tabla Costes Subrogación'!E124</f>
        <v>40198</v>
      </c>
      <c r="F124" s="152">
        <f>YEAR(E124)</f>
        <v>2010</v>
      </c>
      <c r="G124" s="153">
        <f>G$4</f>
        <v>2025</v>
      </c>
      <c r="H124" s="153">
        <f>G124-F124</f>
        <v>15</v>
      </c>
      <c r="I124" s="153">
        <f>I$4</f>
        <v>2033</v>
      </c>
      <c r="J124" s="153">
        <f>I124-F124</f>
        <v>23</v>
      </c>
      <c r="K124" s="153">
        <f>(H124+J124)/2</f>
        <v>19</v>
      </c>
      <c r="L124" s="157">
        <f>IF(AND(K124&gt;0,K124&lt;3),L$137,0)</f>
        <v>0</v>
      </c>
      <c r="M124" s="157">
        <f>IF(AND(K124&gt;2,K124&lt;7),M$137,0)</f>
        <v>0</v>
      </c>
      <c r="N124" s="157">
        <f>IF(AND(K124&gt;6,K124&lt;11),N$137,0)</f>
        <v>0</v>
      </c>
      <c r="O124" s="157">
        <f>IF(AND(K124&gt;10,K124&lt;15),O$137,0)</f>
        <v>0</v>
      </c>
      <c r="P124" s="157">
        <f>IF(AND(K124&gt;14,K124&lt;19),P$137,0)</f>
        <v>0</v>
      </c>
      <c r="Q124" s="157">
        <f>IF(AND(K124&gt;18,K124&lt;21),Q$137,0)</f>
        <v>364.3</v>
      </c>
      <c r="R124" s="157">
        <f>IF(AND(K124&gt;20,K124&lt;23),R$137,0)</f>
        <v>0</v>
      </c>
      <c r="S124" s="157">
        <f>IF(AND(K124&gt;22,K124&lt;25),S$137,0)</f>
        <v>0</v>
      </c>
      <c r="T124" s="157">
        <f>IF(AND(K124&gt;24,K124&lt;27),T$137,0)</f>
        <v>0</v>
      </c>
      <c r="U124" s="157">
        <f>IF(K124&gt;26,U$137,0)</f>
        <v>0</v>
      </c>
      <c r="V124" s="157">
        <f>IF(A124&gt;0,(SUM(L124:U124)),0)</f>
        <v>364.3</v>
      </c>
    </row>
    <row r="125" spans="1:22">
      <c r="A125" s="47">
        <f>'A.1_Tabla Costes Subrogación'!A125</f>
        <v>1</v>
      </c>
      <c r="B125" s="51" t="str">
        <f>'A.1_Tabla Costes Subrogación'!B125</f>
        <v xml:space="preserve"> TÉCNICO/A DIPLOMADO/A  </v>
      </c>
      <c r="C125" s="51"/>
      <c r="D125" s="51"/>
      <c r="E125" s="151">
        <f>'A.1_Tabla Costes Subrogación'!E125</f>
        <v>37641</v>
      </c>
      <c r="F125" s="152">
        <f>YEAR(E125)</f>
        <v>2003</v>
      </c>
      <c r="G125" s="153">
        <f>G$4</f>
        <v>2025</v>
      </c>
      <c r="H125" s="153">
        <f>G125-F125</f>
        <v>22</v>
      </c>
      <c r="I125" s="153">
        <f>I$4</f>
        <v>2033</v>
      </c>
      <c r="J125" s="153">
        <f>I125-F125</f>
        <v>30</v>
      </c>
      <c r="K125" s="153">
        <f>(H125+J125)/2</f>
        <v>26</v>
      </c>
      <c r="L125" s="157">
        <f>IF(AND(K125&gt;0,K125&lt;3),L$137,0)</f>
        <v>0</v>
      </c>
      <c r="M125" s="157">
        <f>IF(AND(K125&gt;2,K125&lt;7),M$137,0)</f>
        <v>0</v>
      </c>
      <c r="N125" s="157">
        <f>IF(AND(K125&gt;6,K125&lt;11),N$137,0)</f>
        <v>0</v>
      </c>
      <c r="O125" s="157">
        <f>IF(AND(K125&gt;10,K125&lt;15),O$137,0)</f>
        <v>0</v>
      </c>
      <c r="P125" s="157">
        <f>IF(AND(K125&gt;14,K125&lt;19),P$137,0)</f>
        <v>0</v>
      </c>
      <c r="Q125" s="157">
        <f>IF(AND(K125&gt;18,K125&lt;21),Q$137,0)</f>
        <v>0</v>
      </c>
      <c r="R125" s="157">
        <f>IF(AND(K125&gt;20,K125&lt;23),R$137,0)</f>
        <v>0</v>
      </c>
      <c r="S125" s="157">
        <f>IF(AND(K125&gt;22,K125&lt;25),S$137,0)</f>
        <v>0</v>
      </c>
      <c r="T125" s="157">
        <f>IF(AND(K125&gt;24,K125&lt;27),T$137,0)</f>
        <v>532.79999999999995</v>
      </c>
      <c r="U125" s="157">
        <f>IF(K125&gt;26,U$137,0)</f>
        <v>0</v>
      </c>
      <c r="V125" s="157">
        <f>IF(A125&gt;0,(SUM(L125:U125)),0)</f>
        <v>532.79999999999995</v>
      </c>
    </row>
    <row r="126" spans="1:22">
      <c r="A126" s="47">
        <f>'A.1_Tabla Costes Subrogación'!A126</f>
        <v>0</v>
      </c>
      <c r="B126" s="51" t="str">
        <f>'A.1_Tabla Costes Subrogación'!B126</f>
        <v xml:space="preserve"> TÉCNICO/A LICENCIADO/A  </v>
      </c>
      <c r="C126" s="51"/>
      <c r="D126" s="51"/>
      <c r="E126" s="151">
        <f>'A.1_Tabla Costes Subrogación'!E126</f>
        <v>37641</v>
      </c>
      <c r="F126" s="152">
        <f>YEAR(E126)</f>
        <v>2003</v>
      </c>
      <c r="G126" s="153">
        <f>G$4</f>
        <v>2025</v>
      </c>
      <c r="H126" s="153">
        <f>G126-F126</f>
        <v>22</v>
      </c>
      <c r="I126" s="153">
        <f>I$4</f>
        <v>2033</v>
      </c>
      <c r="J126" s="153">
        <f>I126-F126</f>
        <v>30</v>
      </c>
      <c r="K126" s="153">
        <f>(H126+J126)/2</f>
        <v>26</v>
      </c>
      <c r="L126" s="157">
        <f>IF(AND(K126&gt;0,K126&lt;3),L$137,0)</f>
        <v>0</v>
      </c>
      <c r="M126" s="157">
        <f>IF(AND(K126&gt;2,K126&lt;7),M$137,0)</f>
        <v>0</v>
      </c>
      <c r="N126" s="157">
        <f>IF(AND(K126&gt;6,K126&lt;11),N$137,0)</f>
        <v>0</v>
      </c>
      <c r="O126" s="157">
        <f>IF(AND(K126&gt;10,K126&lt;15),O$137,0)</f>
        <v>0</v>
      </c>
      <c r="P126" s="157">
        <f>IF(AND(K126&gt;14,K126&lt;19),P$137,0)</f>
        <v>0</v>
      </c>
      <c r="Q126" s="157">
        <f>IF(AND(K126&gt;18,K126&lt;21),Q$137,0)</f>
        <v>0</v>
      </c>
      <c r="R126" s="157">
        <f>IF(AND(K126&gt;20,K126&lt;23),R$137,0)</f>
        <v>0</v>
      </c>
      <c r="S126" s="157">
        <f>IF(AND(K126&gt;22,K126&lt;25),S$137,0)</f>
        <v>0</v>
      </c>
      <c r="T126" s="157">
        <f>IF(AND(K126&gt;24,K126&lt;27),T$137,0)</f>
        <v>532.79999999999995</v>
      </c>
      <c r="U126" s="157">
        <f>IF(K126&gt;26,U$137,0)</f>
        <v>0</v>
      </c>
      <c r="V126" s="157">
        <f>IF(A126&gt;0,(SUM(L126:U126)),0)</f>
        <v>0</v>
      </c>
    </row>
    <row r="127" spans="1:22">
      <c r="A127" s="47">
        <f>'A.1_Tabla Costes Subrogación'!A127</f>
        <v>1</v>
      </c>
      <c r="B127" s="51" t="str">
        <f>'A.1_Tabla Costes Subrogación'!B127</f>
        <v xml:space="preserve"> TÉCNICO/A LICENCIADO/A  </v>
      </c>
      <c r="E127" s="151">
        <f>'A.1_Tabla Costes Subrogación'!E127</f>
        <v>43225</v>
      </c>
      <c r="F127" s="152">
        <f>YEAR(E127)</f>
        <v>2018</v>
      </c>
      <c r="G127" s="153">
        <f>G$4</f>
        <v>2025</v>
      </c>
      <c r="H127" s="153">
        <f>G127-F127</f>
        <v>7</v>
      </c>
      <c r="I127" s="153">
        <f>I$4</f>
        <v>2033</v>
      </c>
      <c r="J127" s="153">
        <f>I127-F127</f>
        <v>15</v>
      </c>
      <c r="K127" s="153">
        <f>(H127+J127)/2</f>
        <v>11</v>
      </c>
      <c r="L127" s="157">
        <f>IF(AND(K127&gt;0,K127&lt;3),L$137,0)</f>
        <v>0</v>
      </c>
      <c r="M127" s="157">
        <f>IF(AND(K127&gt;2,K127&lt;7),M$137,0)</f>
        <v>0</v>
      </c>
      <c r="N127" s="157">
        <f>IF(AND(K127&gt;6,K127&lt;11),N$137,0)</f>
        <v>0</v>
      </c>
      <c r="O127" s="157">
        <f>IF(AND(K127&gt;10,K127&lt;15),O$137,0)</f>
        <v>240.33</v>
      </c>
      <c r="P127" s="157">
        <f>IF(AND(K127&gt;14,K127&lt;19),P$137,0)</f>
        <v>0</v>
      </c>
      <c r="Q127" s="157">
        <f>IF(AND(K127&gt;18,K127&lt;21),Q$137,0)</f>
        <v>0</v>
      </c>
      <c r="R127" s="157">
        <f>IF(AND(K127&gt;20,K127&lt;23),R$137,0)</f>
        <v>0</v>
      </c>
      <c r="S127" s="157">
        <f>IF(AND(K127&gt;22,K127&lt;25),S$137,0)</f>
        <v>0</v>
      </c>
      <c r="T127" s="157">
        <f>IF(AND(K127&gt;24,K127&lt;27),T$137,0)</f>
        <v>0</v>
      </c>
      <c r="U127" s="157">
        <f>IF(K127&gt;26,U$137,0)</f>
        <v>0</v>
      </c>
      <c r="V127" s="157">
        <f>IF(A127&gt;0,(SUM(L127:U127)),0)</f>
        <v>240.33</v>
      </c>
    </row>
    <row r="128" spans="1:22">
      <c r="A128" s="154"/>
      <c r="B128" s="154"/>
      <c r="C128" s="154"/>
      <c r="D128" s="154"/>
      <c r="E128" s="154"/>
      <c r="F128" s="154"/>
      <c r="G128" s="154"/>
      <c r="H128" s="154"/>
      <c r="I128" s="154"/>
      <c r="J128" s="154"/>
      <c r="K128" s="154"/>
      <c r="L128" s="154"/>
      <c r="M128" s="154"/>
      <c r="N128" s="154"/>
      <c r="O128" s="154"/>
      <c r="P128" s="154"/>
      <c r="Q128" s="154"/>
      <c r="R128" s="154"/>
      <c r="S128" s="154"/>
      <c r="T128" s="154"/>
      <c r="U128" s="154"/>
      <c r="V128" s="154"/>
    </row>
    <row r="129" spans="1:22">
      <c r="A129" s="47">
        <f>'A.1_Tabla Costes Subrogación'!A129</f>
        <v>1</v>
      </c>
      <c r="B129" s="51" t="str">
        <f>'A.1_Tabla Costes Subrogación'!B129</f>
        <v xml:space="preserve"> ADMINISTRATIVO/A  </v>
      </c>
      <c r="C129" s="51"/>
      <c r="D129" s="51"/>
      <c r="E129" s="151">
        <f>'A.1_Tabla Costes Subrogación'!E129</f>
        <v>39482</v>
      </c>
      <c r="F129" s="152">
        <f>YEAR(E129)</f>
        <v>2008</v>
      </c>
      <c r="G129" s="153">
        <f>G$4</f>
        <v>2025</v>
      </c>
      <c r="H129" s="153">
        <f>G129-F129</f>
        <v>17</v>
      </c>
      <c r="I129" s="153">
        <f>I$4</f>
        <v>2033</v>
      </c>
      <c r="J129" s="153">
        <f>I129-F129</f>
        <v>25</v>
      </c>
      <c r="K129" s="153">
        <f>(H129+J129)/2</f>
        <v>21</v>
      </c>
      <c r="L129" s="157">
        <f>IF(AND(K129&gt;0,K129&lt;3),L$136,0)</f>
        <v>0</v>
      </c>
      <c r="M129" s="157">
        <f>IF(AND(K129&gt;2,K129&lt;7),M$136,0)</f>
        <v>0</v>
      </c>
      <c r="N129" s="157">
        <f>IF(AND(K129&gt;6,K129&lt;11),N$136,0)</f>
        <v>0</v>
      </c>
      <c r="O129" s="157">
        <f>IF(AND(K129&gt;10,K129&lt;15),O$136,0)</f>
        <v>0</v>
      </c>
      <c r="P129" s="157">
        <f>IF(AND(K129&gt;14,K129&lt;19),P$136,0)</f>
        <v>0</v>
      </c>
      <c r="Q129" s="157">
        <f>IF(AND(K129&gt;18,K129&lt;21),Q$136,0)</f>
        <v>0</v>
      </c>
      <c r="R129" s="157">
        <f>IF(AND(K129&gt;20,K129&lt;23),R$136,0)</f>
        <v>302.98</v>
      </c>
      <c r="S129" s="157">
        <f>IF(AND(K129&gt;22,K129&lt;25),S$136,0)</f>
        <v>0</v>
      </c>
      <c r="T129" s="157">
        <f>IF(AND(K129&gt;24,K129&lt;27),T$136,0)</f>
        <v>0</v>
      </c>
      <c r="U129" s="157">
        <f>IF(K129&gt;26,U$136,0)</f>
        <v>0</v>
      </c>
      <c r="V129" s="157">
        <f>IF(A129&gt;0,(SUM(L129:U129)),0)</f>
        <v>302.98</v>
      </c>
    </row>
    <row r="130" spans="1:22">
      <c r="A130" s="154"/>
      <c r="B130" s="154"/>
      <c r="C130" s="154"/>
      <c r="D130" s="154"/>
      <c r="E130" s="154"/>
      <c r="F130" s="154"/>
      <c r="G130" s="154"/>
      <c r="H130" s="154"/>
      <c r="I130" s="154"/>
      <c r="J130" s="154"/>
      <c r="K130" s="154"/>
      <c r="L130" s="154"/>
      <c r="M130" s="154"/>
      <c r="N130" s="154"/>
      <c r="O130" s="154"/>
      <c r="P130" s="154"/>
      <c r="Q130" s="154"/>
      <c r="R130" s="154"/>
      <c r="S130" s="154"/>
      <c r="T130" s="154"/>
      <c r="U130" s="154"/>
      <c r="V130" s="154"/>
    </row>
    <row r="131" spans="1:22" ht="6" customHeight="1">
      <c r="B131" s="49"/>
      <c r="C131" s="49"/>
      <c r="D131" s="49"/>
      <c r="E131" s="49"/>
      <c r="F131" s="49"/>
    </row>
    <row r="132" spans="1:22">
      <c r="A132" s="249"/>
      <c r="B132" s="601"/>
      <c r="C132" s="601"/>
      <c r="D132" s="601"/>
      <c r="E132" s="601"/>
      <c r="F132" s="251"/>
      <c r="G132" s="251"/>
      <c r="H132" s="251"/>
      <c r="I132" s="251"/>
      <c r="J132" s="251"/>
      <c r="K132" s="251"/>
      <c r="L132" s="251"/>
      <c r="M132" s="251"/>
      <c r="N132" s="251"/>
      <c r="O132" s="251"/>
      <c r="P132" s="251"/>
      <c r="Q132" s="251"/>
      <c r="R132" s="251"/>
      <c r="S132" s="251"/>
      <c r="T132" s="251"/>
      <c r="U132" s="251"/>
      <c r="V132" s="251"/>
    </row>
    <row r="133" spans="1:22">
      <c r="B133" s="47" t="s">
        <v>237</v>
      </c>
      <c r="E133" s="47" t="s">
        <v>237</v>
      </c>
    </row>
    <row r="134" spans="1:22">
      <c r="L134" s="155" t="s">
        <v>169</v>
      </c>
      <c r="M134" s="155" t="s">
        <v>171</v>
      </c>
      <c r="N134" s="155" t="s">
        <v>172</v>
      </c>
      <c r="O134" s="155" t="s">
        <v>173</v>
      </c>
      <c r="P134" s="155" t="s">
        <v>174</v>
      </c>
      <c r="Q134" s="155" t="s">
        <v>175</v>
      </c>
      <c r="R134" s="155" t="s">
        <v>176</v>
      </c>
      <c r="S134" s="155" t="s">
        <v>177</v>
      </c>
      <c r="T134" s="155" t="s">
        <v>178</v>
      </c>
      <c r="U134" s="155" t="s">
        <v>179</v>
      </c>
    </row>
    <row r="135" spans="1:22">
      <c r="K135" s="48" t="s">
        <v>245</v>
      </c>
      <c r="L135" s="158">
        <f>'A.0_Tablas salariales SC'!D32</f>
        <v>25.32</v>
      </c>
      <c r="M135" s="158">
        <f>'A.0_Tablas salariales SC'!D33</f>
        <v>70.180000000000007</v>
      </c>
      <c r="N135" s="158">
        <f>'A.0_Tablas salariales SC'!D34</f>
        <v>122.83</v>
      </c>
      <c r="O135" s="158">
        <f>'A.0_Tablas salariales SC'!D35</f>
        <v>175.53</v>
      </c>
      <c r="P135" s="158">
        <f>'A.0_Tablas salariales SC'!D36</f>
        <v>219.94</v>
      </c>
      <c r="Q135" s="158">
        <f>'A.0_Tablas salariales SC'!D37</f>
        <v>264.41000000000003</v>
      </c>
      <c r="R135" s="158">
        <f>'A.0_Tablas salariales SC'!D38</f>
        <v>280.79000000000002</v>
      </c>
      <c r="S135" s="158">
        <f>'A.0_Tablas salariales SC'!D39</f>
        <v>343.31</v>
      </c>
      <c r="T135" s="158">
        <f>'A.0_Tablas salariales SC'!D40</f>
        <v>385.86</v>
      </c>
      <c r="U135" s="158">
        <f>'A.0_Tablas salariales SC'!D41</f>
        <v>421.15</v>
      </c>
    </row>
    <row r="136" spans="1:22">
      <c r="K136" s="48" t="s">
        <v>246</v>
      </c>
      <c r="L136" s="158">
        <f>'A.0_Tablas salariales SC'!E32</f>
        <v>27.42</v>
      </c>
      <c r="M136" s="158">
        <f>'A.0_Tablas salariales SC'!E33</f>
        <v>75.790000000000006</v>
      </c>
      <c r="N136" s="158">
        <f>'A.0_Tablas salariales SC'!E34</f>
        <v>132.56</v>
      </c>
      <c r="O136" s="158">
        <f>'A.0_Tablas salariales SC'!E35</f>
        <v>189.36</v>
      </c>
      <c r="P136" s="158">
        <f>'A.0_Tablas salariales SC'!E36</f>
        <v>238.04</v>
      </c>
      <c r="Q136" s="158">
        <f>'A.0_Tablas salariales SC'!E37</f>
        <v>294.08999999999997</v>
      </c>
      <c r="R136" s="158">
        <f>'A.0_Tablas salariales SC'!E38</f>
        <v>302.98</v>
      </c>
      <c r="S136" s="158">
        <f>'A.0_Tablas salariales SC'!E39</f>
        <v>370.24</v>
      </c>
      <c r="T136" s="158">
        <f>'A.0_Tablas salariales SC'!E40</f>
        <v>416.19</v>
      </c>
      <c r="U136" s="158">
        <f>'A.0_Tablas salariales SC'!E41</f>
        <v>454.5</v>
      </c>
    </row>
    <row r="137" spans="1:22">
      <c r="K137" s="48" t="s">
        <v>247</v>
      </c>
      <c r="L137" s="158">
        <f>'A.0_Tablas salariales SC'!F32</f>
        <v>34.950000000000003</v>
      </c>
      <c r="M137" s="158">
        <f>'A.0_Tablas salariales SC'!F33</f>
        <v>96.14</v>
      </c>
      <c r="N137" s="158">
        <f>'A.0_Tablas salariales SC'!F34</f>
        <v>168.24</v>
      </c>
      <c r="O137" s="158">
        <f>'A.0_Tablas salariales SC'!F35</f>
        <v>240.33</v>
      </c>
      <c r="P137" s="158">
        <f>'A.0_Tablas salariales SC'!F36</f>
        <v>302.73</v>
      </c>
      <c r="Q137" s="158">
        <f>'A.0_Tablas salariales SC'!F37</f>
        <v>364.3</v>
      </c>
      <c r="R137" s="158">
        <f>'A.0_Tablas salariales SC'!F38</f>
        <v>384.49</v>
      </c>
      <c r="S137" s="158">
        <f>'A.0_Tablas salariales SC'!F39</f>
        <v>442.03</v>
      </c>
      <c r="T137" s="158">
        <f>'A.0_Tablas salariales SC'!F40</f>
        <v>532.79999999999995</v>
      </c>
      <c r="U137" s="158">
        <f>'A.0_Tablas salariales SC'!F41</f>
        <v>576.83000000000004</v>
      </c>
      <c r="V137" s="158"/>
    </row>
  </sheetData>
  <mergeCells count="3">
    <mergeCell ref="A1:V1"/>
    <mergeCell ref="C4:E4"/>
    <mergeCell ref="B132:E132"/>
  </mergeCells>
  <conditionalFormatting sqref="L5:V129">
    <cfRule type="cellIs" dxfId="33" priority="1" operator="equal">
      <formula>0</formula>
    </cfRule>
  </conditionalFormatting>
  <pageMargins left="0.75" right="0.75" top="1" bottom="1" header="0" footer="0"/>
  <pageSetup paperSize="9" scale="51"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1454817346722"/>
  </sheetPr>
  <dimension ref="A1:Z30"/>
  <sheetViews>
    <sheetView zoomScale="90" zoomScaleNormal="90" workbookViewId="0">
      <pane xSplit="2" ySplit="3" topLeftCell="C4" activePane="bottomRight" state="frozen"/>
      <selection pane="topRight"/>
      <selection pane="bottomLeft"/>
      <selection pane="bottomRight" activeCell="G11" sqref="G11"/>
    </sheetView>
  </sheetViews>
  <sheetFormatPr baseColWidth="10" defaultColWidth="11.44140625" defaultRowHeight="14.4"/>
  <cols>
    <col min="1" max="1" width="4" style="47" customWidth="1"/>
    <col min="2" max="2" width="24.5546875" style="47" customWidth="1"/>
    <col min="3" max="5" width="4.6640625" style="47" customWidth="1"/>
    <col min="6" max="6" width="11.44140625" style="47" customWidth="1"/>
    <col min="7" max="7" width="6.109375" style="47" customWidth="1"/>
    <col min="8" max="8" width="10.33203125" style="47" bestFit="1" customWidth="1"/>
    <col min="9" max="9" width="10.44140625" style="47" customWidth="1"/>
    <col min="10" max="10" width="10.33203125" style="47" customWidth="1"/>
    <col min="11" max="11" width="10.33203125" style="47" bestFit="1" customWidth="1"/>
    <col min="12" max="12" width="8.6640625" style="47" bestFit="1" customWidth="1"/>
    <col min="13" max="14" width="8.109375" style="47" customWidth="1"/>
    <col min="15" max="15" width="9.44140625" style="47" customWidth="1"/>
    <col min="16" max="16" width="11.44140625" style="47" bestFit="1" customWidth="1"/>
    <col min="17" max="17" width="8.88671875" style="47" customWidth="1"/>
    <col min="18" max="18" width="7.88671875" style="47" customWidth="1"/>
    <col min="19" max="19" width="8.88671875" style="47" customWidth="1"/>
    <col min="20" max="20" width="10.33203125" style="47" bestFit="1" customWidth="1"/>
    <col min="21" max="24" width="11.44140625" style="47" customWidth="1"/>
    <col min="25" max="25" width="11.6640625" style="47" customWidth="1"/>
    <col min="26" max="26" width="15.44140625" style="48" customWidth="1"/>
    <col min="27" max="16384" width="11.44140625" style="48"/>
  </cols>
  <sheetData>
    <row r="1" spans="1:26" ht="24" customHeight="1">
      <c r="A1" s="788" t="s">
        <v>202</v>
      </c>
      <c r="B1" s="788"/>
      <c r="C1" s="788"/>
      <c r="D1" s="788"/>
      <c r="E1" s="788"/>
      <c r="F1" s="788"/>
      <c r="G1" s="788"/>
      <c r="H1" s="788"/>
      <c r="I1" s="788"/>
      <c r="J1" s="788"/>
      <c r="K1" s="788"/>
      <c r="L1" s="788"/>
      <c r="M1" s="788"/>
      <c r="N1" s="788"/>
      <c r="O1" s="788"/>
      <c r="P1" s="788"/>
      <c r="Q1" s="788"/>
      <c r="R1" s="788"/>
      <c r="S1" s="788"/>
      <c r="T1" s="788"/>
      <c r="U1" s="788"/>
      <c r="V1" s="788"/>
      <c r="W1" s="788"/>
      <c r="X1" s="788"/>
      <c r="Y1" s="788"/>
      <c r="Z1" s="788"/>
    </row>
    <row r="2" spans="1:26" s="50" customFormat="1" ht="3.75" customHeight="1">
      <c r="A2" s="49"/>
      <c r="B2" s="148"/>
      <c r="C2" s="148"/>
      <c r="D2" s="148"/>
      <c r="E2" s="148"/>
      <c r="F2" s="148"/>
      <c r="G2" s="148"/>
      <c r="H2" s="148"/>
      <c r="I2" s="148"/>
      <c r="J2" s="148"/>
      <c r="K2" s="148"/>
      <c r="L2" s="148"/>
      <c r="M2" s="148"/>
      <c r="N2" s="148"/>
      <c r="O2" s="148"/>
      <c r="P2" s="148"/>
      <c r="Q2" s="148"/>
      <c r="R2" s="148"/>
      <c r="S2" s="148"/>
      <c r="T2" s="148"/>
      <c r="U2" s="148"/>
      <c r="V2" s="148"/>
      <c r="W2" s="148"/>
      <c r="X2" s="148"/>
      <c r="Y2" s="148"/>
      <c r="Z2" s="148"/>
    </row>
    <row r="3" spans="1:26" ht="90" customHeight="1">
      <c r="A3" s="249"/>
      <c r="B3" s="250" t="s">
        <v>139</v>
      </c>
      <c r="C3" s="254" t="s">
        <v>203</v>
      </c>
      <c r="D3" s="364" t="s">
        <v>881</v>
      </c>
      <c r="E3" s="250" t="s">
        <v>206</v>
      </c>
      <c r="F3" s="250" t="s">
        <v>207</v>
      </c>
      <c r="G3" s="250" t="s">
        <v>208</v>
      </c>
      <c r="H3" s="250" t="s">
        <v>209</v>
      </c>
      <c r="I3" s="250" t="s">
        <v>210</v>
      </c>
      <c r="J3" s="250" t="s">
        <v>211</v>
      </c>
      <c r="K3" s="250" t="s">
        <v>212</v>
      </c>
      <c r="L3" s="250" t="s">
        <v>213</v>
      </c>
      <c r="M3" s="250" t="s">
        <v>214</v>
      </c>
      <c r="N3" s="250" t="s">
        <v>215</v>
      </c>
      <c r="O3" s="250" t="s">
        <v>216</v>
      </c>
      <c r="P3" s="250" t="s">
        <v>217</v>
      </c>
      <c r="Q3" s="250" t="s">
        <v>218</v>
      </c>
      <c r="R3" s="250" t="s">
        <v>219</v>
      </c>
      <c r="S3" s="250" t="s">
        <v>187</v>
      </c>
      <c r="T3" s="250" t="s">
        <v>220</v>
      </c>
      <c r="U3" s="363" t="s">
        <v>878</v>
      </c>
      <c r="V3" s="363" t="s">
        <v>880</v>
      </c>
      <c r="W3" s="250" t="s">
        <v>221</v>
      </c>
      <c r="X3" s="250" t="s">
        <v>222</v>
      </c>
      <c r="Y3" s="250" t="s">
        <v>223</v>
      </c>
      <c r="Z3" s="250" t="s">
        <v>224</v>
      </c>
    </row>
    <row r="4" spans="1:26" ht="19.5" customHeight="1">
      <c r="A4" s="149"/>
      <c r="B4" s="93"/>
      <c r="C4" s="789" t="s">
        <v>225</v>
      </c>
      <c r="D4" s="789"/>
      <c r="E4" s="789"/>
      <c r="F4" s="789"/>
      <c r="G4" s="789"/>
      <c r="H4" s="93">
        <v>12</v>
      </c>
      <c r="I4" s="93">
        <v>12</v>
      </c>
      <c r="J4" s="93">
        <v>2</v>
      </c>
      <c r="K4" s="93">
        <v>1</v>
      </c>
      <c r="L4" s="93">
        <v>1</v>
      </c>
      <c r="M4" s="93">
        <v>12</v>
      </c>
      <c r="N4" s="93"/>
      <c r="O4" s="93">
        <v>12</v>
      </c>
      <c r="P4" s="93"/>
      <c r="Q4" s="93">
        <v>11</v>
      </c>
      <c r="R4" s="93">
        <v>11</v>
      </c>
      <c r="S4" s="93"/>
      <c r="T4" s="93"/>
      <c r="U4" s="93"/>
      <c r="V4" s="93"/>
      <c r="W4" s="93"/>
      <c r="X4" s="93"/>
      <c r="Y4" s="93"/>
      <c r="Z4" s="93"/>
    </row>
    <row r="5" spans="1:26">
      <c r="A5" s="159">
        <v>0</v>
      </c>
      <c r="B5" s="47" t="s">
        <v>226</v>
      </c>
      <c r="E5" s="152">
        <f>'A.2.0_TablaAntigüedad_NuevContr'!K5</f>
        <v>6</v>
      </c>
      <c r="G5" s="160">
        <v>1</v>
      </c>
      <c r="H5" s="161">
        <f>'A.0_Tablas salariales SC'!$V$9</f>
        <v>1125.8900000000001</v>
      </c>
      <c r="I5" s="161">
        <f>'A.2.0_TablaAntigüedad_NuevContr'!V5</f>
        <v>0</v>
      </c>
      <c r="J5" s="161">
        <f>H5+I5</f>
        <v>1125.8900000000001</v>
      </c>
      <c r="K5" s="161">
        <f>H5+I5</f>
        <v>1125.8900000000001</v>
      </c>
      <c r="L5" s="161">
        <f>'A.0_Tablas salariales SC'!AA8</f>
        <v>450</v>
      </c>
      <c r="M5" s="161">
        <f>H5*0.25*0</f>
        <v>0</v>
      </c>
      <c r="N5" s="161"/>
      <c r="O5" s="161">
        <v>0</v>
      </c>
      <c r="P5" s="172">
        <f>IF(A5&gt;0,((H5*H$4)+(I5*I$4)+(J5*J$4)+(O5*O$4)+(K5*K$4)+(L5*L$4)+(M5*M$4)+(N5*N$4)),0)</f>
        <v>0</v>
      </c>
      <c r="Q5" s="161">
        <f>'A.0_Tablas salariales SC'!X8</f>
        <v>115.69</v>
      </c>
      <c r="R5" s="161">
        <f>'A.0_Tablas salariales SC'!W8</f>
        <v>34.71</v>
      </c>
      <c r="S5" s="161"/>
      <c r="T5" s="161">
        <f>IF(A5&gt;0,(Q5*Q$4)+(R5*R$4)+S5,0)</f>
        <v>0</v>
      </c>
      <c r="U5" s="161">
        <f>+P5+T5</f>
        <v>0</v>
      </c>
      <c r="V5" s="161">
        <f>U5*G5*A5</f>
        <v>0</v>
      </c>
      <c r="W5" s="165">
        <v>0.34599999999999997</v>
      </c>
      <c r="X5" s="161">
        <f>U5*A5*G5*W5</f>
        <v>0</v>
      </c>
      <c r="Y5" s="161">
        <f>X5+V5</f>
        <v>0</v>
      </c>
      <c r="Z5" s="166"/>
    </row>
    <row r="6" spans="1:26">
      <c r="A6" s="159">
        <v>0</v>
      </c>
      <c r="B6" s="47" t="s">
        <v>226</v>
      </c>
      <c r="E6" s="152">
        <f>'A.2.0_TablaAntigüedad_NuevContr'!K6</f>
        <v>6</v>
      </c>
      <c r="G6" s="160">
        <v>1</v>
      </c>
      <c r="H6" s="161">
        <f>'A.0_Tablas salariales SC'!$V$9</f>
        <v>1125.8900000000001</v>
      </c>
      <c r="I6" s="161">
        <f>'A.2.0_TablaAntigüedad_NuevContr'!V6</f>
        <v>0</v>
      </c>
      <c r="J6" s="161">
        <f>H6+I6</f>
        <v>1125.8900000000001</v>
      </c>
      <c r="K6" s="161">
        <f>H6+I6</f>
        <v>1125.8900000000001</v>
      </c>
      <c r="L6" s="161">
        <f>'A.0_Tablas salariales SC'!AA9</f>
        <v>450</v>
      </c>
      <c r="M6" s="161">
        <f>H6*0.25*0</f>
        <v>0</v>
      </c>
      <c r="N6" s="161"/>
      <c r="O6" s="161">
        <v>0</v>
      </c>
      <c r="P6" s="161">
        <f>IF(A6&gt;0,((H6*H$4)+(I6*I$4)+(J6*J$4)+(O6*O$4)+(K6*K$4)+(L6*L$4)+(M6*M$4)+(N6*N$4)),0)</f>
        <v>0</v>
      </c>
      <c r="Q6" s="161">
        <f>'A.0_Tablas salariales SC'!X9</f>
        <v>115.69</v>
      </c>
      <c r="R6" s="161">
        <f>'A.0_Tablas salariales SC'!W9</f>
        <v>34.71</v>
      </c>
      <c r="S6" s="161"/>
      <c r="T6" s="161">
        <f t="shared" ref="T6:T26" si="0">IF(A6&gt;0,(Q6*Q$4)+(R6*R$4)+S6,0)</f>
        <v>0</v>
      </c>
      <c r="U6" s="161">
        <f>+P6+T6</f>
        <v>0</v>
      </c>
      <c r="V6" s="161">
        <f>U6*G6*A6</f>
        <v>0</v>
      </c>
      <c r="W6" s="165">
        <v>0.34599999999999997</v>
      </c>
      <c r="X6" s="161">
        <f>U6*A6*G6*W6</f>
        <v>0</v>
      </c>
      <c r="Y6" s="161">
        <f>X6+V6</f>
        <v>0</v>
      </c>
      <c r="Z6" s="166"/>
    </row>
    <row r="7" spans="1:26">
      <c r="A7" s="162"/>
      <c r="B7" s="154"/>
      <c r="C7" s="154"/>
      <c r="D7" s="154"/>
      <c r="E7" s="154"/>
      <c r="F7" s="154"/>
      <c r="G7" s="154"/>
      <c r="H7" s="163"/>
      <c r="I7" s="154"/>
      <c r="J7" s="163"/>
      <c r="K7" s="163"/>
      <c r="L7" s="163"/>
      <c r="M7" s="164"/>
      <c r="N7" s="163"/>
      <c r="O7" s="154"/>
      <c r="P7" s="163"/>
      <c r="Q7" s="154"/>
      <c r="R7" s="154"/>
      <c r="S7" s="154"/>
      <c r="T7" s="163"/>
      <c r="U7" s="163"/>
      <c r="V7" s="163"/>
      <c r="W7" s="167"/>
      <c r="X7" s="163"/>
      <c r="Y7" s="163"/>
      <c r="Z7" s="168">
        <f>+(SUM(Y5:Y6))</f>
        <v>0</v>
      </c>
    </row>
    <row r="8" spans="1:26">
      <c r="A8" s="159">
        <v>0</v>
      </c>
      <c r="B8" s="47" t="s">
        <v>227</v>
      </c>
      <c r="E8" s="152">
        <f>'A.2.0_TablaAntigüedad_NuevContr'!K8</f>
        <v>6</v>
      </c>
      <c r="G8" s="160">
        <v>1</v>
      </c>
      <c r="H8" s="161">
        <f>'A.0_Tablas salariales SC'!$V$10</f>
        <v>1190.32</v>
      </c>
      <c r="I8" s="161">
        <f>'A.2.0_TablaAntigüedad_NuevContr'!V8</f>
        <v>0</v>
      </c>
      <c r="J8" s="161">
        <f>H8+I8</f>
        <v>1190.32</v>
      </c>
      <c r="K8" s="161">
        <f>H8+I8</f>
        <v>1190.32</v>
      </c>
      <c r="L8" s="161">
        <v>461.42333333333301</v>
      </c>
      <c r="M8" s="161">
        <f>H8*0.25*0</f>
        <v>0</v>
      </c>
      <c r="N8" s="161"/>
      <c r="O8" s="161">
        <v>0</v>
      </c>
      <c r="P8" s="161">
        <f>IF(A8&gt;0,((H8*H$4)+(I8*I$4)+(J8*J$4)+(O8*O$4)+(K8*K$4)+(L8*L$4)+(M8*M$4)+(N8*N$4)),0)</f>
        <v>0</v>
      </c>
      <c r="Q8" s="161">
        <v>118.63</v>
      </c>
      <c r="R8" s="161">
        <v>35.593333333333298</v>
      </c>
      <c r="S8" s="161"/>
      <c r="T8" s="161">
        <f t="shared" si="0"/>
        <v>0</v>
      </c>
      <c r="U8" s="161">
        <f>+P8+T8</f>
        <v>0</v>
      </c>
      <c r="V8" s="161">
        <f>U8*G8*A8</f>
        <v>0</v>
      </c>
      <c r="W8" s="165">
        <v>0.34599999999999997</v>
      </c>
      <c r="X8" s="161">
        <f>U8*A8*G8*W8</f>
        <v>0</v>
      </c>
      <c r="Y8" s="161">
        <f>X8+V8</f>
        <v>0</v>
      </c>
      <c r="Z8" s="166"/>
    </row>
    <row r="9" spans="1:26">
      <c r="A9" s="159">
        <v>0</v>
      </c>
      <c r="B9" s="47" t="s">
        <v>227</v>
      </c>
      <c r="E9" s="152">
        <f>'A.2.0_TablaAntigüedad_NuevContr'!K9</f>
        <v>6</v>
      </c>
      <c r="G9" s="160">
        <v>1</v>
      </c>
      <c r="H9" s="161">
        <f>'A.0_Tablas salariales SC'!V10</f>
        <v>1190.32</v>
      </c>
      <c r="I9" s="161">
        <f>'A.2.0_TablaAntigüedad_NuevContr'!V9</f>
        <v>0</v>
      </c>
      <c r="J9" s="161">
        <f>H9+I9</f>
        <v>1190.32</v>
      </c>
      <c r="K9" s="161">
        <f>H9+I9</f>
        <v>1190.32</v>
      </c>
      <c r="L9" s="161">
        <v>461.42333333333301</v>
      </c>
      <c r="M9" s="161">
        <v>0</v>
      </c>
      <c r="N9" s="161"/>
      <c r="O9" s="161">
        <v>0</v>
      </c>
      <c r="P9" s="161">
        <f>IF(A9&gt;0,((H9*H$4)+(I9*I$4)+(J9*J$4)+(O9*O$4)+(K9*K$4)+(L9*L$4)+(M9*M$4)+(N9*N$4)),0)</f>
        <v>0</v>
      </c>
      <c r="Q9" s="161">
        <v>118.63</v>
      </c>
      <c r="R9" s="161">
        <v>35.593333333333298</v>
      </c>
      <c r="S9" s="161"/>
      <c r="T9" s="161">
        <f t="shared" si="0"/>
        <v>0</v>
      </c>
      <c r="U9" s="161">
        <f>+P9+T9</f>
        <v>0</v>
      </c>
      <c r="V9" s="161">
        <f>U9*G9*A9</f>
        <v>0</v>
      </c>
      <c r="W9" s="165">
        <v>0.34599999999999997</v>
      </c>
      <c r="X9" s="161">
        <f>U9*A9*G9*W9</f>
        <v>0</v>
      </c>
      <c r="Y9" s="161">
        <f>X9+V9</f>
        <v>0</v>
      </c>
      <c r="Z9" s="166"/>
    </row>
    <row r="10" spans="1:26">
      <c r="A10" s="159">
        <v>0</v>
      </c>
      <c r="B10" s="47" t="s">
        <v>227</v>
      </c>
      <c r="E10" s="152">
        <f>'A.2.0_TablaAntigüedad_NuevContr'!K10</f>
        <v>6</v>
      </c>
      <c r="G10" s="160">
        <v>1</v>
      </c>
      <c r="H10" s="161">
        <f>'A.0_Tablas salariales SC'!$V$10</f>
        <v>1190.32</v>
      </c>
      <c r="I10" s="161">
        <f>'A.2.0_TablaAntigüedad_NuevContr'!V10</f>
        <v>0</v>
      </c>
      <c r="J10" s="161">
        <f>H10+I10</f>
        <v>1190.32</v>
      </c>
      <c r="K10" s="161">
        <f>H10+I10</f>
        <v>1190.32</v>
      </c>
      <c r="L10" s="161">
        <v>461.42333333333301</v>
      </c>
      <c r="M10" s="161">
        <f>H10*0.25*0</f>
        <v>0</v>
      </c>
      <c r="N10" s="161"/>
      <c r="O10" s="161">
        <v>0</v>
      </c>
      <c r="P10" s="161">
        <f>IF(A10&gt;0,((H10*H$4)+(I10*I$4)+(J10*J$4)+(O10*O$4)+(K10*K$4)+(L10*L$4)+(M10*M$4)+(N10*N$4)),0)</f>
        <v>0</v>
      </c>
      <c r="Q10" s="161">
        <v>118.63</v>
      </c>
      <c r="R10" s="161">
        <v>35.593333333333298</v>
      </c>
      <c r="S10" s="161"/>
      <c r="T10" s="161">
        <f t="shared" si="0"/>
        <v>0</v>
      </c>
      <c r="U10" s="161">
        <f>+P10+T10</f>
        <v>0</v>
      </c>
      <c r="V10" s="161">
        <f>U10*G10*A10</f>
        <v>0</v>
      </c>
      <c r="W10" s="165">
        <v>0.34599999999999997</v>
      </c>
      <c r="X10" s="161">
        <f>U10*A10*G10*W10</f>
        <v>0</v>
      </c>
      <c r="Y10" s="161">
        <f>X10+V10</f>
        <v>0</v>
      </c>
      <c r="Z10" s="166"/>
    </row>
    <row r="11" spans="1:26">
      <c r="A11" s="159">
        <v>0</v>
      </c>
      <c r="B11" s="47" t="s">
        <v>227</v>
      </c>
      <c r="E11" s="152">
        <f>'A.2.0_TablaAntigüedad_NuevContr'!K11</f>
        <v>6</v>
      </c>
      <c r="G11" s="160">
        <v>1</v>
      </c>
      <c r="H11" s="161">
        <f>'A.0_Tablas salariales SC'!V12</f>
        <v>1234</v>
      </c>
      <c r="I11" s="161">
        <f>'A.2.0_TablaAntigüedad_NuevContr'!V11</f>
        <v>0</v>
      </c>
      <c r="J11" s="161">
        <f>H11+I11</f>
        <v>1234</v>
      </c>
      <c r="K11" s="161">
        <f>H11+I11</f>
        <v>1234</v>
      </c>
      <c r="L11" s="161">
        <v>461.42333333333301</v>
      </c>
      <c r="M11" s="161">
        <v>0</v>
      </c>
      <c r="N11" s="161"/>
      <c r="O11" s="161">
        <v>0</v>
      </c>
      <c r="P11" s="161">
        <f>IF(A11&gt;0,((H11*H$4)+(I11*I$4)+(J11*J$4)+(O11*O$4)+(K11*K$4)+(L11*L$4)+(M11*M$4)+(N11*N$4)),0)</f>
        <v>0</v>
      </c>
      <c r="Q11" s="161">
        <v>118.63</v>
      </c>
      <c r="R11" s="161">
        <v>35.593333333333298</v>
      </c>
      <c r="S11" s="161"/>
      <c r="T11" s="161">
        <f t="shared" si="0"/>
        <v>0</v>
      </c>
      <c r="U11" s="161">
        <f>+P11+T11</f>
        <v>0</v>
      </c>
      <c r="V11" s="161">
        <f>U11*G11*A11</f>
        <v>0</v>
      </c>
      <c r="W11" s="165">
        <v>0.34599999999999997</v>
      </c>
      <c r="X11" s="161">
        <f>U11*A11*G11*W11</f>
        <v>0</v>
      </c>
      <c r="Y11" s="161">
        <f>X11+V11</f>
        <v>0</v>
      </c>
      <c r="Z11" s="166"/>
    </row>
    <row r="12" spans="1:26">
      <c r="A12" s="162"/>
      <c r="B12" s="154"/>
      <c r="C12" s="154"/>
      <c r="D12" s="154"/>
      <c r="E12" s="154"/>
      <c r="F12" s="154"/>
      <c r="G12" s="154"/>
      <c r="H12" s="154"/>
      <c r="I12" s="154"/>
      <c r="J12" s="154"/>
      <c r="K12" s="154"/>
      <c r="L12" s="154"/>
      <c r="M12" s="164"/>
      <c r="N12" s="154"/>
      <c r="O12" s="154"/>
      <c r="P12" s="163"/>
      <c r="Q12" s="154"/>
      <c r="R12" s="154"/>
      <c r="S12" s="154"/>
      <c r="T12" s="163"/>
      <c r="U12" s="163"/>
      <c r="V12" s="163"/>
      <c r="W12" s="167"/>
      <c r="X12" s="163"/>
      <c r="Y12" s="163"/>
      <c r="Z12" s="168">
        <f>+(SUM(Y8:Y11))</f>
        <v>0</v>
      </c>
    </row>
    <row r="13" spans="1:26">
      <c r="A13" s="159">
        <v>0</v>
      </c>
      <c r="B13" s="47" t="s">
        <v>229</v>
      </c>
      <c r="E13" s="152">
        <f>'A.2.0_TablaAntigüedad_NuevContr'!K13</f>
        <v>6</v>
      </c>
      <c r="G13" s="160">
        <v>1</v>
      </c>
      <c r="H13" s="161">
        <f>'A.0_Tablas salariales SC'!$V$13</f>
        <v>1240.55</v>
      </c>
      <c r="I13" s="161">
        <f>'A.2.0_TablaAntigüedad_NuevContr'!V13</f>
        <v>0</v>
      </c>
      <c r="J13" s="161">
        <f>H13+I13</f>
        <v>1240.55</v>
      </c>
      <c r="K13" s="161">
        <f>H13+I13</f>
        <v>1240.55</v>
      </c>
      <c r="L13" s="161">
        <v>461.42333333333301</v>
      </c>
      <c r="M13" s="161">
        <f>H13*0.25*0</f>
        <v>0</v>
      </c>
      <c r="N13" s="161"/>
      <c r="O13" s="161">
        <v>0</v>
      </c>
      <c r="P13" s="161">
        <f>IF(A13&gt;0,((H13*H$4)+(I13*I$4)+(J13*J$4)+(O13*O$4)+(K13*K$4)+(L13*L$4)+(M13*M$4)+(N13*N$4)),0)</f>
        <v>0</v>
      </c>
      <c r="Q13" s="161">
        <v>118.63</v>
      </c>
      <c r="R13" s="161">
        <v>35.593333333333298</v>
      </c>
      <c r="S13" s="161"/>
      <c r="T13" s="161">
        <f t="shared" si="0"/>
        <v>0</v>
      </c>
      <c r="U13" s="161">
        <f>+P13+T13</f>
        <v>0</v>
      </c>
      <c r="V13" s="161">
        <f>U13*G13*A13</f>
        <v>0</v>
      </c>
      <c r="W13" s="165">
        <v>0.34599999999999997</v>
      </c>
      <c r="X13" s="161">
        <f>U13*A13*G13*W13</f>
        <v>0</v>
      </c>
      <c r="Y13" s="161">
        <f>X13+V13</f>
        <v>0</v>
      </c>
      <c r="Z13" s="166"/>
    </row>
    <row r="14" spans="1:26">
      <c r="A14" s="159">
        <v>0</v>
      </c>
      <c r="B14" s="47" t="s">
        <v>229</v>
      </c>
      <c r="E14" s="152">
        <f>'A.2.0_TablaAntigüedad_NuevContr'!K14</f>
        <v>6</v>
      </c>
      <c r="G14" s="160">
        <v>1</v>
      </c>
      <c r="H14" s="161">
        <f>'A.0_Tablas salariales SC'!$V$13</f>
        <v>1240.55</v>
      </c>
      <c r="I14" s="161">
        <f>'A.2.0_TablaAntigüedad_NuevContr'!V14</f>
        <v>0</v>
      </c>
      <c r="J14" s="161">
        <f>H14+I14</f>
        <v>1240.55</v>
      </c>
      <c r="K14" s="161">
        <f>H14+I14</f>
        <v>1240.55</v>
      </c>
      <c r="L14" s="161">
        <v>461.42333333333301</v>
      </c>
      <c r="M14" s="161">
        <f>H14*0.25*0</f>
        <v>0</v>
      </c>
      <c r="N14" s="161"/>
      <c r="O14" s="161">
        <v>0</v>
      </c>
      <c r="P14" s="161">
        <f>IF(A14&gt;0,((H14*H$4)+(I14*I$4)+(J14*J$4)+(O14*O$4)+(K14*K$4)+(L14*L$4)+(M14*M$4)+(N14*N$4)),0)</f>
        <v>0</v>
      </c>
      <c r="Q14" s="161">
        <v>118.63</v>
      </c>
      <c r="R14" s="161">
        <v>35.593333333333298</v>
      </c>
      <c r="S14" s="161"/>
      <c r="T14" s="161">
        <f t="shared" si="0"/>
        <v>0</v>
      </c>
      <c r="U14" s="161">
        <f>+P14+T14</f>
        <v>0</v>
      </c>
      <c r="V14" s="161">
        <f>U14*G14*A14</f>
        <v>0</v>
      </c>
      <c r="W14" s="165">
        <v>0.34599999999999997</v>
      </c>
      <c r="X14" s="161">
        <f>U14*A14*G14*W14</f>
        <v>0</v>
      </c>
      <c r="Y14" s="161">
        <f>X14+V14</f>
        <v>0</v>
      </c>
      <c r="Z14" s="166"/>
    </row>
    <row r="15" spans="1:26">
      <c r="A15" s="154"/>
      <c r="B15" s="154"/>
      <c r="C15" s="154"/>
      <c r="D15" s="154"/>
      <c r="E15" s="154"/>
      <c r="F15" s="154"/>
      <c r="G15" s="154"/>
      <c r="H15" s="154"/>
      <c r="I15" s="154"/>
      <c r="J15" s="154"/>
      <c r="K15" s="154"/>
      <c r="L15" s="154"/>
      <c r="M15" s="164"/>
      <c r="N15" s="154"/>
      <c r="O15" s="154"/>
      <c r="P15" s="163"/>
      <c r="Q15" s="154"/>
      <c r="R15" s="154"/>
      <c r="S15" s="154"/>
      <c r="T15" s="163"/>
      <c r="U15" s="163"/>
      <c r="V15" s="163"/>
      <c r="W15" s="167"/>
      <c r="X15" s="163"/>
      <c r="Y15" s="163"/>
      <c r="Z15" s="168">
        <f>+(SUM(Y13:Y14))</f>
        <v>0</v>
      </c>
    </row>
    <row r="16" spans="1:26">
      <c r="A16" s="159">
        <v>0</v>
      </c>
      <c r="B16" s="47" t="s">
        <v>230</v>
      </c>
      <c r="E16" s="152">
        <f>'A.2.0_TablaAntigüedad_NuevContr'!K16</f>
        <v>6</v>
      </c>
      <c r="G16" s="160">
        <v>1</v>
      </c>
      <c r="H16" s="161">
        <f>'A.0_Tablas salariales SC'!$V$14</f>
        <v>1304.98</v>
      </c>
      <c r="I16" s="161">
        <f>'A.2.0_TablaAntigüedad_NuevContr'!V16</f>
        <v>0</v>
      </c>
      <c r="J16" s="161">
        <f>H16+I16</f>
        <v>1304.98</v>
      </c>
      <c r="K16" s="161">
        <f>H16+I16</f>
        <v>1304.98</v>
      </c>
      <c r="L16" s="161">
        <v>461.42333333333301</v>
      </c>
      <c r="M16" s="161">
        <f>H16*0.25*0</f>
        <v>0</v>
      </c>
      <c r="N16" s="161"/>
      <c r="O16" s="161">
        <v>0</v>
      </c>
      <c r="P16" s="161">
        <f>IF(A16&gt;0,((H16*H$4)+(I16*I$4)+(J16*J$4)+(O16*O$4)+(K16*K$4)+(L16*L$4)+(M16*M$4)+(N16*N$4)),0)</f>
        <v>0</v>
      </c>
      <c r="Q16" s="161">
        <v>118.63</v>
      </c>
      <c r="R16" s="161">
        <v>35.593333333333298</v>
      </c>
      <c r="S16" s="161"/>
      <c r="T16" s="161">
        <f t="shared" si="0"/>
        <v>0</v>
      </c>
      <c r="U16" s="161">
        <f>+P16+T16</f>
        <v>0</v>
      </c>
      <c r="V16" s="161">
        <f>U16*G16*A16</f>
        <v>0</v>
      </c>
      <c r="W16" s="165">
        <v>0.34599999999999997</v>
      </c>
      <c r="X16" s="161">
        <f>U16*A16*G16*W16</f>
        <v>0</v>
      </c>
      <c r="Y16" s="161">
        <f>X16+V16</f>
        <v>0</v>
      </c>
      <c r="Z16" s="166"/>
    </row>
    <row r="17" spans="1:26">
      <c r="A17" s="159">
        <v>0</v>
      </c>
      <c r="B17" s="47" t="s">
        <v>231</v>
      </c>
      <c r="E17" s="152">
        <f>'A.2.0_TablaAntigüedad_NuevContr'!K17</f>
        <v>6</v>
      </c>
      <c r="G17" s="160">
        <v>1</v>
      </c>
      <c r="H17" s="161">
        <f>'A.0_Tablas salariales SC'!$V$14</f>
        <v>1304.98</v>
      </c>
      <c r="I17" s="161">
        <f>'A.2.0_TablaAntigüedad_NuevContr'!V17</f>
        <v>0</v>
      </c>
      <c r="J17" s="161">
        <f>H17+I17</f>
        <v>1304.98</v>
      </c>
      <c r="K17" s="161">
        <f>H17+I17</f>
        <v>1304.98</v>
      </c>
      <c r="L17" s="161">
        <v>461.42333333333301</v>
      </c>
      <c r="M17" s="161">
        <f>H17*0.25*0</f>
        <v>0</v>
      </c>
      <c r="N17" s="161"/>
      <c r="O17" s="161">
        <v>0</v>
      </c>
      <c r="P17" s="161">
        <f>IF(A17&gt;0,((H17*H$4)+(I17*I$4)+(J17*J$4)+(O17*O$4)+(K17*K$4)+(L17*L$4)+(M17*M$4)+(N17*N$4)),0)</f>
        <v>0</v>
      </c>
      <c r="Q17" s="161">
        <v>118.63</v>
      </c>
      <c r="R17" s="161">
        <v>35.593333333333298</v>
      </c>
      <c r="S17" s="161"/>
      <c r="T17" s="161">
        <f t="shared" si="0"/>
        <v>0</v>
      </c>
      <c r="U17" s="161">
        <f>+P17+T17</f>
        <v>0</v>
      </c>
      <c r="V17" s="161">
        <f>U17*G17*A17</f>
        <v>0</v>
      </c>
      <c r="W17" s="165">
        <v>0.34599999999999997</v>
      </c>
      <c r="X17" s="161">
        <f>U17*A17*G17*W17</f>
        <v>0</v>
      </c>
      <c r="Y17" s="161">
        <f>X17+V17</f>
        <v>0</v>
      </c>
      <c r="Z17" s="166"/>
    </row>
    <row r="18" spans="1:26">
      <c r="A18" s="159">
        <v>0</v>
      </c>
      <c r="B18" s="47" t="s">
        <v>230</v>
      </c>
      <c r="E18" s="152">
        <f>'A.2.0_TablaAntigüedad_NuevContr'!K18</f>
        <v>6</v>
      </c>
      <c r="G18" s="160">
        <v>1</v>
      </c>
      <c r="H18" s="161">
        <f>'A.0_Tablas salariales SC'!$V$14</f>
        <v>1304.98</v>
      </c>
      <c r="I18" s="161">
        <f>'A.2.0_TablaAntigüedad_NuevContr'!V18</f>
        <v>0</v>
      </c>
      <c r="J18" s="161">
        <f>H18+I18</f>
        <v>1304.98</v>
      </c>
      <c r="K18" s="161">
        <f>H18+I18</f>
        <v>1304.98</v>
      </c>
      <c r="L18" s="161">
        <v>461.42333333333301</v>
      </c>
      <c r="M18" s="161">
        <f>H18*0.25*0</f>
        <v>0</v>
      </c>
      <c r="N18" s="161"/>
      <c r="O18" s="161">
        <v>0</v>
      </c>
      <c r="P18" s="161">
        <f>IF(A18&gt;0,((H18*H$4)+(I18*I$4)+(J18*J$4)+(O18*O$4)+(K18*K$4)+(L18*L$4)+(M18*M$4)+(N18*N$4)),0)</f>
        <v>0</v>
      </c>
      <c r="Q18" s="161">
        <v>118.63</v>
      </c>
      <c r="R18" s="161">
        <v>35.593333333333298</v>
      </c>
      <c r="S18" s="161"/>
      <c r="T18" s="161">
        <f t="shared" si="0"/>
        <v>0</v>
      </c>
      <c r="U18" s="161">
        <f>+P18+T18</f>
        <v>0</v>
      </c>
      <c r="V18" s="161">
        <f>U18*G18*A18</f>
        <v>0</v>
      </c>
      <c r="W18" s="165">
        <v>0.34599999999999997</v>
      </c>
      <c r="X18" s="161">
        <f>U18*A18*G18*W18</f>
        <v>0</v>
      </c>
      <c r="Y18" s="161">
        <f>X18+V18</f>
        <v>0</v>
      </c>
      <c r="Z18" s="166"/>
    </row>
    <row r="19" spans="1:26">
      <c r="A19" s="159">
        <v>0</v>
      </c>
      <c r="B19" s="47" t="s">
        <v>231</v>
      </c>
      <c r="E19" s="152">
        <f>'A.2.0_TablaAntigüedad_NuevContr'!K19</f>
        <v>6</v>
      </c>
      <c r="G19" s="160">
        <v>1</v>
      </c>
      <c r="H19" s="161">
        <f>'A.0_Tablas salariales SC'!$V$14</f>
        <v>1304.98</v>
      </c>
      <c r="I19" s="161">
        <f>'A.2.0_TablaAntigüedad_NuevContr'!V19</f>
        <v>0</v>
      </c>
      <c r="J19" s="161">
        <f>H19+I19</f>
        <v>1304.98</v>
      </c>
      <c r="K19" s="161">
        <f>H19+I19</f>
        <v>1304.98</v>
      </c>
      <c r="L19" s="161">
        <v>461.42333333333301</v>
      </c>
      <c r="M19" s="161">
        <f>H19*0.25*0</f>
        <v>0</v>
      </c>
      <c r="N19" s="161"/>
      <c r="O19" s="161">
        <v>0</v>
      </c>
      <c r="P19" s="161">
        <f>IF(A19&gt;0,((H19*H$4)+(I19*I$4)+(J19*J$4)+(O19*O$4)+(K19*K$4)+(L19*L$4)+(M19*M$4)+(N19*N$4)),0)</f>
        <v>0</v>
      </c>
      <c r="Q19" s="161">
        <v>118.63</v>
      </c>
      <c r="R19" s="161">
        <v>35.593333333333298</v>
      </c>
      <c r="S19" s="161"/>
      <c r="T19" s="161">
        <f t="shared" si="0"/>
        <v>0</v>
      </c>
      <c r="U19" s="161">
        <f>+P19+T19</f>
        <v>0</v>
      </c>
      <c r="V19" s="161">
        <f>U19*G19*A19</f>
        <v>0</v>
      </c>
      <c r="W19" s="165">
        <v>0.34599999999999997</v>
      </c>
      <c r="X19" s="161">
        <f>U19*A19*G19*W19</f>
        <v>0</v>
      </c>
      <c r="Y19" s="161">
        <f>X19+V19</f>
        <v>0</v>
      </c>
      <c r="Z19" s="166"/>
    </row>
    <row r="20" spans="1:26">
      <c r="A20" s="159">
        <v>0</v>
      </c>
      <c r="B20" s="47" t="s">
        <v>230</v>
      </c>
      <c r="E20" s="152">
        <f>'A.2.0_TablaAntigüedad_NuevContr'!K20</f>
        <v>6</v>
      </c>
      <c r="G20" s="160">
        <v>1</v>
      </c>
      <c r="H20" s="161">
        <f>'A.0_Tablas salariales SC'!$V$14</f>
        <v>1304.98</v>
      </c>
      <c r="I20" s="161">
        <f>'A.2.0_TablaAntigüedad_NuevContr'!V20</f>
        <v>0</v>
      </c>
      <c r="J20" s="161">
        <f>H20+I20</f>
        <v>1304.98</v>
      </c>
      <c r="K20" s="161">
        <f>H20+I20</f>
        <v>1304.98</v>
      </c>
      <c r="L20" s="161">
        <v>461.42333333333301</v>
      </c>
      <c r="M20" s="161">
        <f>H20*0.25*0</f>
        <v>0</v>
      </c>
      <c r="N20" s="161"/>
      <c r="O20" s="161">
        <v>0</v>
      </c>
      <c r="P20" s="161">
        <f>IF(A20&gt;0,((H20*H$4)+(I20*I$4)+(J20*J$4)+(O20*O$4)+(K20*K$4)+(L20*L$4)+(M20*M$4)+(N20*N$4)),0)</f>
        <v>0</v>
      </c>
      <c r="Q20" s="161">
        <v>118.63</v>
      </c>
      <c r="R20" s="161">
        <v>35.593333333333298</v>
      </c>
      <c r="S20" s="161"/>
      <c r="T20" s="161">
        <f t="shared" si="0"/>
        <v>0</v>
      </c>
      <c r="U20" s="161">
        <f>+P20+T20</f>
        <v>0</v>
      </c>
      <c r="V20" s="161">
        <f>U20*G20*A20</f>
        <v>0</v>
      </c>
      <c r="W20" s="165">
        <v>0.34599999999999997</v>
      </c>
      <c r="X20" s="161">
        <f>U20*A20*G20*W20</f>
        <v>0</v>
      </c>
      <c r="Y20" s="161">
        <f>X20+V20</f>
        <v>0</v>
      </c>
      <c r="Z20" s="166"/>
    </row>
    <row r="21" spans="1:26">
      <c r="A21" s="154"/>
      <c r="B21" s="154"/>
      <c r="C21" s="154"/>
      <c r="D21" s="154"/>
      <c r="E21" s="154"/>
      <c r="F21" s="154"/>
      <c r="G21" s="154"/>
      <c r="H21" s="154"/>
      <c r="I21" s="154"/>
      <c r="J21" s="154"/>
      <c r="K21" s="154"/>
      <c r="L21" s="154"/>
      <c r="M21" s="164"/>
      <c r="N21" s="154"/>
      <c r="O21" s="154"/>
      <c r="P21" s="154"/>
      <c r="Q21" s="154"/>
      <c r="R21" s="154"/>
      <c r="S21" s="154"/>
      <c r="T21" s="154"/>
      <c r="U21" s="154"/>
      <c r="V21" s="154"/>
      <c r="W21" s="154"/>
      <c r="X21" s="154"/>
      <c r="Y21" s="154"/>
      <c r="Z21" s="168">
        <f>+(SUM(Y16:Y20))</f>
        <v>0</v>
      </c>
    </row>
    <row r="22" spans="1:26">
      <c r="A22" s="159">
        <v>0</v>
      </c>
      <c r="B22" s="47" t="s">
        <v>232</v>
      </c>
      <c r="E22" s="152">
        <f>'A.2.0_TablaAntigüedad_NuevContr'!K22</f>
        <v>6</v>
      </c>
      <c r="G22" s="160">
        <v>1</v>
      </c>
      <c r="H22" s="161">
        <f>'A.0_Tablas salariales SC'!$V$17</f>
        <v>1363.97</v>
      </c>
      <c r="I22" s="161">
        <f>'A.2.0_TablaAntigüedad_NuevContr'!V22</f>
        <v>0</v>
      </c>
      <c r="J22" s="161">
        <f>H22+I22</f>
        <v>1363.97</v>
      </c>
      <c r="K22" s="161">
        <f>H22+I22</f>
        <v>1363.97</v>
      </c>
      <c r="L22" s="161">
        <v>461.42333333333301</v>
      </c>
      <c r="M22" s="161">
        <f>H22*0.25*0</f>
        <v>0</v>
      </c>
      <c r="N22" s="161"/>
      <c r="O22" s="161">
        <v>0</v>
      </c>
      <c r="P22" s="161">
        <f>IF(A22&gt;0,((H22*H$4)+(I22*I$4)+(J22*J$4)+(O22*O$4)+(K22*K$4)+(L22*L$4)+(M22*M$4)+(N22*N$4)),0)</f>
        <v>0</v>
      </c>
      <c r="Q22" s="161">
        <v>118.63</v>
      </c>
      <c r="R22" s="161">
        <v>35.593333333333298</v>
      </c>
      <c r="S22" s="161"/>
      <c r="T22" s="161">
        <f t="shared" si="0"/>
        <v>0</v>
      </c>
      <c r="U22" s="161">
        <f>+P22+T22</f>
        <v>0</v>
      </c>
      <c r="V22" s="161">
        <f>U22*G22*A22</f>
        <v>0</v>
      </c>
      <c r="W22" s="165">
        <v>0.34599999999999997</v>
      </c>
      <c r="X22" s="161">
        <f>U22*A22*G22*W22</f>
        <v>0</v>
      </c>
      <c r="Y22" s="161">
        <f>X22+V22</f>
        <v>0</v>
      </c>
      <c r="Z22" s="166"/>
    </row>
    <row r="23" spans="1:26">
      <c r="A23" s="154"/>
      <c r="B23" s="154"/>
      <c r="C23" s="154"/>
      <c r="D23" s="154"/>
      <c r="E23" s="154"/>
      <c r="F23" s="154"/>
      <c r="G23" s="154"/>
      <c r="H23" s="163"/>
      <c r="I23" s="154"/>
      <c r="J23" s="163"/>
      <c r="K23" s="163"/>
      <c r="L23" s="163"/>
      <c r="M23" s="164"/>
      <c r="N23" s="163"/>
      <c r="O23" s="154"/>
      <c r="P23" s="163"/>
      <c r="Q23" s="154"/>
      <c r="R23" s="154"/>
      <c r="S23" s="154"/>
      <c r="T23" s="163"/>
      <c r="U23" s="163"/>
      <c r="V23" s="163"/>
      <c r="W23" s="167"/>
      <c r="X23" s="163"/>
      <c r="Y23" s="163"/>
      <c r="Z23" s="169">
        <f>+Y22</f>
        <v>0</v>
      </c>
    </row>
    <row r="24" spans="1:26">
      <c r="A24" s="159">
        <v>0</v>
      </c>
      <c r="B24" s="47" t="s">
        <v>233</v>
      </c>
      <c r="E24" s="152">
        <f>'A.2.0_TablaAntigüedad_NuevContr'!K24</f>
        <v>6</v>
      </c>
      <c r="G24" s="160">
        <v>1</v>
      </c>
      <c r="H24" s="161">
        <f>'A.0_Tablas salariales SC'!$V$27</f>
        <v>1747.25</v>
      </c>
      <c r="I24" s="161">
        <f>'A.2.0_TablaAntigüedad_NuevContr'!V24</f>
        <v>0</v>
      </c>
      <c r="J24" s="161">
        <f>H24+I24</f>
        <v>1747.25</v>
      </c>
      <c r="K24" s="161">
        <f>H24+I24</f>
        <v>1747.25</v>
      </c>
      <c r="L24" s="161">
        <v>461.42333333333301</v>
      </c>
      <c r="M24" s="161">
        <f>H24*0.25*0</f>
        <v>0</v>
      </c>
      <c r="N24" s="161"/>
      <c r="O24" s="161">
        <v>0</v>
      </c>
      <c r="P24" s="161">
        <f>IF(A24&gt;0,((H24*H$4)+(I24*I$4)+(J24*J$4)+(O24*O$4)+(K24*K$4)+(L24*L$4)+(M24*M$4)+(N24*N$4)),0)</f>
        <v>0</v>
      </c>
      <c r="Q24" s="161">
        <v>118.63</v>
      </c>
      <c r="R24" s="161">
        <v>35.593333333333298</v>
      </c>
      <c r="S24" s="161"/>
      <c r="T24" s="161">
        <f t="shared" si="0"/>
        <v>0</v>
      </c>
      <c r="U24" s="161">
        <f>+P24+T24</f>
        <v>0</v>
      </c>
      <c r="V24" s="161">
        <f>U24*G24*A24</f>
        <v>0</v>
      </c>
      <c r="W24" s="165">
        <v>0.34599999999999997</v>
      </c>
      <c r="X24" s="161">
        <f>U24*A24*G24*W24</f>
        <v>0</v>
      </c>
      <c r="Y24" s="161">
        <f>X24+V24</f>
        <v>0</v>
      </c>
      <c r="Z24" s="166"/>
    </row>
    <row r="25" spans="1:26">
      <c r="A25" s="154"/>
      <c r="B25" s="154"/>
      <c r="C25" s="154"/>
      <c r="D25" s="154"/>
      <c r="E25" s="154"/>
      <c r="F25" s="154"/>
      <c r="G25" s="154"/>
      <c r="H25" s="154"/>
      <c r="I25" s="154"/>
      <c r="J25" s="154"/>
      <c r="K25" s="154"/>
      <c r="L25" s="154"/>
      <c r="M25" s="164"/>
      <c r="N25" s="154"/>
      <c r="O25" s="154"/>
      <c r="P25" s="163"/>
      <c r="Q25" s="154"/>
      <c r="R25" s="154"/>
      <c r="S25" s="154"/>
      <c r="T25" s="163"/>
      <c r="U25" s="163"/>
      <c r="V25" s="163"/>
      <c r="W25" s="167"/>
      <c r="X25" s="163"/>
      <c r="Y25" s="163"/>
      <c r="Z25" s="169">
        <f>+Y24</f>
        <v>0</v>
      </c>
    </row>
    <row r="26" spans="1:26">
      <c r="A26" s="159">
        <v>0</v>
      </c>
      <c r="B26" s="47" t="s">
        <v>235</v>
      </c>
      <c r="E26" s="152">
        <f>'A.2.0_TablaAntigüedad_NuevContr'!K26</f>
        <v>6</v>
      </c>
      <c r="G26" s="160">
        <v>1</v>
      </c>
      <c r="H26" s="161">
        <f>'A.0_Tablas salariales SC'!$V$21</f>
        <v>1299.8499999999999</v>
      </c>
      <c r="I26" s="161">
        <f>'A.2.0_TablaAntigüedad_NuevContr'!V26</f>
        <v>0</v>
      </c>
      <c r="J26" s="161">
        <f>H26+I26</f>
        <v>1299.8499999999999</v>
      </c>
      <c r="K26" s="161">
        <f>H26+I26</f>
        <v>1299.8499999999999</v>
      </c>
      <c r="L26" s="161">
        <v>461.42333333333301</v>
      </c>
      <c r="M26" s="161">
        <f>H26*0.25*0</f>
        <v>0</v>
      </c>
      <c r="N26" s="161"/>
      <c r="O26" s="161">
        <v>0</v>
      </c>
      <c r="P26" s="161">
        <f>IF(A26&gt;0,((H26*H$4)+(I26*I$4)+(J26*J$4)+(O26*O$4)+(K26*K$4)+(L26*L$4)+(M26*M$4)+(N26*N$4)),0)</f>
        <v>0</v>
      </c>
      <c r="Q26" s="161">
        <v>118.63</v>
      </c>
      <c r="R26" s="161">
        <v>35.593333333333298</v>
      </c>
      <c r="S26" s="161"/>
      <c r="T26" s="161">
        <f t="shared" si="0"/>
        <v>0</v>
      </c>
      <c r="U26" s="161">
        <f>+P26+T26</f>
        <v>0</v>
      </c>
      <c r="V26" s="161">
        <f>U26*G26*A26</f>
        <v>0</v>
      </c>
      <c r="W26" s="165">
        <v>0.34599999999999997</v>
      </c>
      <c r="X26" s="161">
        <f>U26*A26*G26*W26</f>
        <v>0</v>
      </c>
      <c r="Y26" s="161">
        <f>X26+V26</f>
        <v>0</v>
      </c>
      <c r="Z26" s="166"/>
    </row>
    <row r="27" spans="1:26">
      <c r="A27" s="154"/>
      <c r="B27" s="154"/>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69">
        <f>+Y26</f>
        <v>0</v>
      </c>
    </row>
    <row r="28" spans="1:26" ht="6" customHeight="1">
      <c r="B28" s="49"/>
      <c r="C28" s="49"/>
      <c r="D28" s="49"/>
      <c r="E28" s="49"/>
      <c r="F28" s="49"/>
      <c r="G28" s="49"/>
      <c r="H28" s="49"/>
      <c r="I28" s="49"/>
      <c r="J28" s="49"/>
      <c r="K28" s="49"/>
      <c r="L28" s="49"/>
      <c r="M28" s="49"/>
      <c r="N28" s="49"/>
      <c r="O28" s="49"/>
      <c r="P28" s="49"/>
      <c r="Q28" s="49"/>
      <c r="R28" s="49"/>
      <c r="S28" s="49"/>
      <c r="T28" s="49"/>
      <c r="U28" s="49"/>
      <c r="V28" s="49"/>
      <c r="W28" s="49"/>
      <c r="X28" s="49"/>
      <c r="Y28" s="49"/>
      <c r="Z28" s="50"/>
    </row>
    <row r="29" spans="1:26">
      <c r="A29" s="249"/>
      <c r="B29" s="601" t="s">
        <v>236</v>
      </c>
      <c r="C29" s="601"/>
      <c r="D29" s="601"/>
      <c r="E29" s="601"/>
      <c r="F29" s="601"/>
      <c r="G29" s="601"/>
      <c r="H29" s="601"/>
      <c r="I29" s="601"/>
      <c r="J29" s="601"/>
      <c r="K29" s="601"/>
      <c r="L29" s="601"/>
      <c r="M29" s="601"/>
      <c r="N29" s="601"/>
      <c r="O29" s="601"/>
      <c r="P29" s="601"/>
      <c r="Q29" s="601"/>
      <c r="R29" s="601"/>
      <c r="S29" s="601"/>
      <c r="T29" s="601"/>
      <c r="U29" s="601"/>
      <c r="V29" s="601"/>
      <c r="W29" s="601"/>
      <c r="X29" s="601"/>
      <c r="Y29" s="252"/>
      <c r="Z29" s="253">
        <f>SUM(Z5:Z27)</f>
        <v>0</v>
      </c>
    </row>
    <row r="30" spans="1:26">
      <c r="B30" s="47" t="s">
        <v>237</v>
      </c>
      <c r="H30" s="47" t="s">
        <v>237</v>
      </c>
      <c r="I30" s="47" t="s">
        <v>237</v>
      </c>
      <c r="J30" s="47" t="s">
        <v>237</v>
      </c>
      <c r="O30" s="47" t="s">
        <v>237</v>
      </c>
      <c r="P30" s="47" t="s">
        <v>237</v>
      </c>
      <c r="Q30" s="47" t="s">
        <v>237</v>
      </c>
      <c r="R30" s="47" t="s">
        <v>237</v>
      </c>
      <c r="T30" s="47" t="s">
        <v>237</v>
      </c>
      <c r="U30" s="47" t="s">
        <v>237</v>
      </c>
      <c r="W30" s="47" t="s">
        <v>237</v>
      </c>
      <c r="X30" s="47" t="s">
        <v>237</v>
      </c>
      <c r="Y30" s="47" t="s">
        <v>237</v>
      </c>
    </row>
  </sheetData>
  <mergeCells count="3">
    <mergeCell ref="A1:Z1"/>
    <mergeCell ref="C4:G4"/>
    <mergeCell ref="B29:X29"/>
  </mergeCells>
  <conditionalFormatting sqref="I5:I27">
    <cfRule type="cellIs" dxfId="32" priority="1" operator="equal">
      <formula>0</formula>
    </cfRule>
  </conditionalFormatting>
  <conditionalFormatting sqref="M5:X26">
    <cfRule type="cellIs" dxfId="31" priority="3" operator="equal">
      <formula>0</formula>
    </cfRule>
  </conditionalFormatting>
  <conditionalFormatting sqref="P5">
    <cfRule type="cellIs" dxfId="30" priority="4" operator="equal">
      <formula>0</formula>
    </cfRule>
  </conditionalFormatting>
  <conditionalFormatting sqref="Y13:Y26">
    <cfRule type="cellIs" dxfId="29" priority="2" operator="equal">
      <formula>0</formula>
    </cfRule>
  </conditionalFormatting>
  <pageMargins left="0.74803149606299202" right="0.74803149606299202" top="0.98425196850393704" bottom="0.98425196850393704" header="0" footer="0"/>
  <pageSetup paperSize="9" scale="51"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59999389629810485"/>
  </sheetPr>
  <dimension ref="A1:V33"/>
  <sheetViews>
    <sheetView zoomScale="80" zoomScaleNormal="80" workbookViewId="0">
      <pane xSplit="2" ySplit="3" topLeftCell="C4" activePane="bottomRight" state="frozen"/>
      <selection pane="topRight"/>
      <selection pane="bottomLeft"/>
      <selection pane="bottomRight" activeCell="W2" sqref="W1:W65536"/>
    </sheetView>
  </sheetViews>
  <sheetFormatPr baseColWidth="10" defaultColWidth="11.44140625" defaultRowHeight="14.4"/>
  <cols>
    <col min="1" max="1" width="4" style="47" customWidth="1"/>
    <col min="2" max="2" width="22.5546875" style="47" customWidth="1"/>
    <col min="3" max="3" width="4.6640625" style="47" customWidth="1"/>
    <col min="4" max="4" width="5.109375" style="47" customWidth="1"/>
    <col min="5" max="5" width="11.44140625" style="47" customWidth="1"/>
    <col min="6" max="6" width="14.88671875" style="47" customWidth="1"/>
    <col min="7" max="7" width="8.88671875" style="48" customWidth="1"/>
    <col min="8" max="8" width="9.44140625" style="48" customWidth="1"/>
    <col min="9" max="10" width="11.44140625" style="48"/>
    <col min="11" max="11" width="11.88671875" style="48" customWidth="1"/>
    <col min="12" max="13" width="11.44140625" style="48"/>
    <col min="14" max="14" width="11.88671875" style="48" customWidth="1"/>
    <col min="15" max="16384" width="11.44140625" style="48"/>
  </cols>
  <sheetData>
    <row r="1" spans="1:22" ht="24" customHeight="1">
      <c r="A1" s="788" t="s">
        <v>238</v>
      </c>
      <c r="B1" s="788"/>
      <c r="C1" s="788"/>
      <c r="D1" s="788"/>
      <c r="E1" s="788"/>
      <c r="F1" s="788"/>
      <c r="G1" s="788"/>
      <c r="H1" s="788"/>
      <c r="I1" s="788"/>
      <c r="J1" s="788"/>
      <c r="K1" s="788"/>
      <c r="L1" s="788"/>
      <c r="M1" s="788"/>
      <c r="N1" s="788"/>
      <c r="O1" s="788"/>
      <c r="P1" s="788"/>
      <c r="Q1" s="788"/>
      <c r="R1" s="788"/>
      <c r="S1" s="788"/>
      <c r="T1" s="788"/>
      <c r="U1" s="788"/>
      <c r="V1" s="788"/>
    </row>
    <row r="2" spans="1:22" s="50" customFormat="1" ht="3.75" customHeight="1">
      <c r="A2" s="49"/>
      <c r="B2" s="148"/>
      <c r="C2" s="148"/>
      <c r="D2" s="148"/>
      <c r="E2" s="148"/>
      <c r="F2" s="148"/>
    </row>
    <row r="3" spans="1:22" ht="90" customHeight="1">
      <c r="A3" s="249"/>
      <c r="B3" s="250" t="s">
        <v>139</v>
      </c>
      <c r="C3" s="254" t="s">
        <v>203</v>
      </c>
      <c r="D3" s="254" t="s">
        <v>204</v>
      </c>
      <c r="E3" s="250" t="s">
        <v>205</v>
      </c>
      <c r="F3" s="255" t="s">
        <v>248</v>
      </c>
      <c r="G3" s="255" t="s">
        <v>240</v>
      </c>
      <c r="H3" s="255" t="s">
        <v>241</v>
      </c>
      <c r="I3" s="255" t="s">
        <v>242</v>
      </c>
      <c r="J3" s="255" t="s">
        <v>243</v>
      </c>
      <c r="K3" s="255" t="s">
        <v>244</v>
      </c>
      <c r="L3" s="155" t="s">
        <v>169</v>
      </c>
      <c r="M3" s="155" t="s">
        <v>171</v>
      </c>
      <c r="N3" s="155" t="s">
        <v>172</v>
      </c>
      <c r="O3" s="155" t="s">
        <v>173</v>
      </c>
      <c r="P3" s="155" t="s">
        <v>174</v>
      </c>
      <c r="Q3" s="155" t="s">
        <v>175</v>
      </c>
      <c r="R3" s="155" t="s">
        <v>176</v>
      </c>
      <c r="S3" s="155" t="s">
        <v>177</v>
      </c>
      <c r="T3" s="155" t="s">
        <v>178</v>
      </c>
      <c r="U3" s="155" t="s">
        <v>179</v>
      </c>
      <c r="V3" s="362" t="s">
        <v>877</v>
      </c>
    </row>
    <row r="4" spans="1:22" ht="19.5" customHeight="1">
      <c r="A4" s="149"/>
      <c r="B4" s="93"/>
      <c r="C4" s="789" t="s">
        <v>225</v>
      </c>
      <c r="D4" s="789"/>
      <c r="E4" s="789"/>
      <c r="F4" s="93"/>
      <c r="G4" s="150">
        <f>'A. Resumen Costes Personal'!D19</f>
        <v>2025</v>
      </c>
      <c r="H4" s="96"/>
      <c r="I4" s="150">
        <f>'A. Resumen Costes Personal'!D20</f>
        <v>2033</v>
      </c>
      <c r="J4" s="96"/>
      <c r="K4" s="96"/>
      <c r="L4" s="156"/>
      <c r="M4" s="156"/>
      <c r="N4" s="156"/>
      <c r="O4" s="156"/>
      <c r="P4" s="156"/>
      <c r="Q4" s="156"/>
      <c r="R4" s="156"/>
      <c r="S4" s="156"/>
      <c r="T4" s="156"/>
      <c r="U4" s="156"/>
      <c r="V4" s="156"/>
    </row>
    <row r="5" spans="1:22">
      <c r="A5" s="47">
        <f>'A.2_Tabla Costes Nueva Contr'!A5</f>
        <v>0</v>
      </c>
      <c r="B5" s="51" t="str">
        <f>'A.2_Tabla Costes Nueva Contr'!B5</f>
        <v xml:space="preserve"> PEÓN  </v>
      </c>
      <c r="C5" s="51"/>
      <c r="D5" s="51"/>
      <c r="E5" s="151">
        <v>45200</v>
      </c>
      <c r="F5" s="152">
        <f>YEAR(E5)</f>
        <v>2023</v>
      </c>
      <c r="G5" s="153">
        <f>G$4</f>
        <v>2025</v>
      </c>
      <c r="H5" s="153">
        <f>G5-F5</f>
        <v>2</v>
      </c>
      <c r="I5" s="153">
        <f>I$4</f>
        <v>2033</v>
      </c>
      <c r="J5" s="153">
        <f>I5-F5</f>
        <v>10</v>
      </c>
      <c r="K5" s="153">
        <f t="shared" ref="K5:K26" si="0">(H5+J5)/2</f>
        <v>6</v>
      </c>
      <c r="L5" s="157">
        <f>IF(AND(K5&gt;0,K5&lt;3),L$31,0)</f>
        <v>0</v>
      </c>
      <c r="M5" s="157">
        <f>IF(AND(K5&gt;2,K5&lt;7),M$31,0)</f>
        <v>70.180000000000007</v>
      </c>
      <c r="N5" s="157">
        <f>IF(AND(K5&gt;6,K5&lt;11),N$31,0)</f>
        <v>0</v>
      </c>
      <c r="O5" s="157">
        <f>IF(AND(K5&gt;10,K5&lt;15),O$31,0)</f>
        <v>0</v>
      </c>
      <c r="P5" s="157">
        <f>IF(AND(K5&gt;14,K5&lt;19),P$31,0)</f>
        <v>0</v>
      </c>
      <c r="Q5" s="157">
        <f>IF(AND(K5&gt;18,K5&lt;21),Q$31,0)</f>
        <v>0</v>
      </c>
      <c r="R5" s="157">
        <f>IF(AND(K5&gt;20,K5&lt;23),R$31,0)</f>
        <v>0</v>
      </c>
      <c r="S5" s="157">
        <f>IF(AND(K5&gt;22,K5&lt;25),S$31,0)</f>
        <v>0</v>
      </c>
      <c r="T5" s="157">
        <f>IF(AND(K5&gt;24,K5&lt;27),T$31,0)</f>
        <v>0</v>
      </c>
      <c r="U5" s="157">
        <f>IF(K5&gt;26,U$31,0)</f>
        <v>0</v>
      </c>
      <c r="V5" s="157">
        <f>IF(A5&gt;0,SUM(L5:U5),0)</f>
        <v>0</v>
      </c>
    </row>
    <row r="6" spans="1:22">
      <c r="A6" s="47">
        <f>'A.2_Tabla Costes Nueva Contr'!A6</f>
        <v>0</v>
      </c>
      <c r="B6" s="51" t="str">
        <f>'A.2_Tabla Costes Nueva Contr'!B6</f>
        <v xml:space="preserve"> PEÓN  </v>
      </c>
      <c r="C6" s="51"/>
      <c r="D6" s="51"/>
      <c r="E6" s="151">
        <v>45200</v>
      </c>
      <c r="F6" s="152">
        <f>YEAR(E6)</f>
        <v>2023</v>
      </c>
      <c r="G6" s="153">
        <f>G$4</f>
        <v>2025</v>
      </c>
      <c r="H6" s="153">
        <f>G6-F6</f>
        <v>2</v>
      </c>
      <c r="I6" s="153">
        <f>I$4</f>
        <v>2033</v>
      </c>
      <c r="J6" s="153">
        <f>I6-F6</f>
        <v>10</v>
      </c>
      <c r="K6" s="153">
        <f>(H6+J6)/2</f>
        <v>6</v>
      </c>
      <c r="L6" s="157">
        <f>IF(AND(K6&gt;0,K6&lt;3),L$31,0)</f>
        <v>0</v>
      </c>
      <c r="M6" s="157">
        <f>IF(AND(K6&gt;2,K6&lt;7),M$31,0)</f>
        <v>70.180000000000007</v>
      </c>
      <c r="N6" s="157">
        <f>IF(AND(K6&gt;6,K6&lt;11),N$31,0)</f>
        <v>0</v>
      </c>
      <c r="O6" s="157">
        <f>IF(AND(K6&gt;10,K6&lt;15),O$31,0)</f>
        <v>0</v>
      </c>
      <c r="P6" s="157">
        <f>IF(AND(K6&gt;14,K6&lt;19),P$31,0)</f>
        <v>0</v>
      </c>
      <c r="Q6" s="157">
        <f>IF(AND(K6&gt;18,K6&lt;21),Q$31,0)</f>
        <v>0</v>
      </c>
      <c r="R6" s="157">
        <f>IF(AND(K6&gt;20,K6&lt;23),R$31,0)</f>
        <v>0</v>
      </c>
      <c r="S6" s="157">
        <f>IF(AND(K6&gt;22,K6&lt;25),S$31,0)</f>
        <v>0</v>
      </c>
      <c r="T6" s="157">
        <f>IF(AND(K6&gt;24,K6&lt;27),T$31,0)</f>
        <v>0</v>
      </c>
      <c r="U6" s="157">
        <f>IF(K6&gt;26,U$31,0)</f>
        <v>0</v>
      </c>
      <c r="V6" s="157">
        <f>IF(A6&gt;0,SUM(L6:U6),0)</f>
        <v>0</v>
      </c>
    </row>
    <row r="7" spans="1:22">
      <c r="A7" s="154"/>
      <c r="B7" s="154"/>
      <c r="C7" s="154"/>
      <c r="D7" s="154"/>
      <c r="E7" s="154"/>
      <c r="F7" s="154"/>
      <c r="G7" s="154"/>
      <c r="H7" s="154"/>
      <c r="I7" s="154"/>
      <c r="J7" s="154"/>
      <c r="K7" s="154"/>
      <c r="L7" s="154"/>
      <c r="M7" s="154"/>
      <c r="N7" s="154"/>
      <c r="O7" s="154"/>
      <c r="P7" s="154"/>
      <c r="Q7" s="154"/>
      <c r="R7" s="154"/>
      <c r="S7" s="154"/>
      <c r="T7" s="154"/>
      <c r="U7" s="154"/>
      <c r="V7" s="154"/>
    </row>
    <row r="8" spans="1:22">
      <c r="A8" s="47">
        <f>'A.2_Tabla Costes Nueva Contr'!A8</f>
        <v>0</v>
      </c>
      <c r="B8" s="51" t="str">
        <f>'A.2_Tabla Costes Nueva Contr'!B8</f>
        <v xml:space="preserve"> AUXILIAR JARD.  </v>
      </c>
      <c r="C8" s="51"/>
      <c r="D8" s="51"/>
      <c r="E8" s="151">
        <v>45200</v>
      </c>
      <c r="F8" s="152">
        <f t="shared" ref="F8:F26" si="1">YEAR(E8)</f>
        <v>2023</v>
      </c>
      <c r="G8" s="153">
        <f t="shared" ref="G8:I26" si="2">G$4</f>
        <v>2025</v>
      </c>
      <c r="H8" s="153">
        <f t="shared" ref="H8:H26" si="3">G8-F8</f>
        <v>2</v>
      </c>
      <c r="I8" s="153">
        <f t="shared" si="2"/>
        <v>2033</v>
      </c>
      <c r="J8" s="153">
        <f t="shared" ref="J8:J26" si="4">I8-F8</f>
        <v>10</v>
      </c>
      <c r="K8" s="153">
        <f t="shared" si="0"/>
        <v>6</v>
      </c>
      <c r="L8" s="157">
        <f>IF(AND(K8&gt;0,K8&lt;3),L$31,0)</f>
        <v>0</v>
      </c>
      <c r="M8" s="157">
        <f>IF(AND(K8&gt;2,K8&lt;7),M$31,0)</f>
        <v>70.180000000000007</v>
      </c>
      <c r="N8" s="157">
        <f>IF(AND(K8&gt;6,K8&lt;11),N$31,0)</f>
        <v>0</v>
      </c>
      <c r="O8" s="157">
        <f>IF(AND(K8&gt;10,K8&lt;15),O$31,0)</f>
        <v>0</v>
      </c>
      <c r="P8" s="157">
        <f>IF(AND(K8&gt;14,K8&lt;19),P$31,0)</f>
        <v>0</v>
      </c>
      <c r="Q8" s="157">
        <f>IF(AND(K8&gt;18,K8&lt;21),Q$31,0)</f>
        <v>0</v>
      </c>
      <c r="R8" s="157">
        <f>IF(AND(K8&gt;20,K8&lt;23),R$31,0)</f>
        <v>0</v>
      </c>
      <c r="S8" s="157">
        <f>IF(AND(K8&gt;22,K8&lt;25),S$31,0)</f>
        <v>0</v>
      </c>
      <c r="T8" s="157">
        <f>IF(AND(K8&gt;24,K8&lt;27),T$31,0)</f>
        <v>0</v>
      </c>
      <c r="U8" s="157">
        <f>IF(K8&gt;26,U$31,0)</f>
        <v>0</v>
      </c>
      <c r="V8" s="157">
        <f>IF(A8&gt;0,SUM(L8:U8),0)</f>
        <v>0</v>
      </c>
    </row>
    <row r="9" spans="1:22">
      <c r="A9" s="47">
        <f>'A.2_Tabla Costes Nueva Contr'!A9</f>
        <v>0</v>
      </c>
      <c r="B9" s="51" t="str">
        <f>'A.2_Tabla Costes Nueva Contr'!B9</f>
        <v xml:space="preserve"> AUXILIAR JARD.  </v>
      </c>
      <c r="C9" s="51"/>
      <c r="D9" s="51"/>
      <c r="E9" s="151">
        <v>45200</v>
      </c>
      <c r="F9" s="152">
        <f t="shared" si="1"/>
        <v>2023</v>
      </c>
      <c r="G9" s="153">
        <f t="shared" si="2"/>
        <v>2025</v>
      </c>
      <c r="H9" s="153">
        <f t="shared" si="3"/>
        <v>2</v>
      </c>
      <c r="I9" s="153">
        <f t="shared" si="2"/>
        <v>2033</v>
      </c>
      <c r="J9" s="153">
        <f t="shared" si="4"/>
        <v>10</v>
      </c>
      <c r="K9" s="153">
        <f t="shared" si="0"/>
        <v>6</v>
      </c>
      <c r="L9" s="157">
        <f>IF(AND(K9&gt;0,K9&lt;3),L$31,0)</f>
        <v>0</v>
      </c>
      <c r="M9" s="157">
        <f>IF(AND(K9&gt;2,K9&lt;7),M$31,0)</f>
        <v>70.180000000000007</v>
      </c>
      <c r="N9" s="157">
        <f>IF(AND(K9&gt;6,K9&lt;11),N$31,0)</f>
        <v>0</v>
      </c>
      <c r="O9" s="157">
        <f>IF(AND(K9&gt;10,K9&lt;15),O$31,0)</f>
        <v>0</v>
      </c>
      <c r="P9" s="157">
        <f>IF(AND(K9&gt;14,K9&lt;19),P$31,0)</f>
        <v>0</v>
      </c>
      <c r="Q9" s="157">
        <f>IF(AND(K9&gt;18,K9&lt;21),Q$31,0)</f>
        <v>0</v>
      </c>
      <c r="R9" s="157">
        <f>IF(AND(K9&gt;20,K9&lt;23),R$31,0)</f>
        <v>0</v>
      </c>
      <c r="S9" s="157">
        <f>IF(AND(K9&gt;22,K9&lt;25),S$31,0)</f>
        <v>0</v>
      </c>
      <c r="T9" s="157">
        <f>IF(AND(K9&gt;24,K9&lt;27),T$31,0)</f>
        <v>0</v>
      </c>
      <c r="U9" s="157">
        <f>IF(K9&gt;26,U$31,0)</f>
        <v>0</v>
      </c>
      <c r="V9" s="157">
        <f>IF(A9&gt;0,SUM(L9:U9),0)</f>
        <v>0</v>
      </c>
    </row>
    <row r="10" spans="1:22">
      <c r="A10" s="47">
        <f>'A.2_Tabla Costes Nueva Contr'!A10</f>
        <v>0</v>
      </c>
      <c r="B10" s="51" t="str">
        <f>'A.2_Tabla Costes Nueva Contr'!B10</f>
        <v xml:space="preserve"> AUXILIAR JARD.  </v>
      </c>
      <c r="C10" s="51"/>
      <c r="D10" s="51"/>
      <c r="E10" s="151">
        <v>45200</v>
      </c>
      <c r="F10" s="152">
        <f>YEAR(E10)</f>
        <v>2023</v>
      </c>
      <c r="G10" s="153">
        <f t="shared" si="2"/>
        <v>2025</v>
      </c>
      <c r="H10" s="153">
        <f>G10-F10</f>
        <v>2</v>
      </c>
      <c r="I10" s="153">
        <f t="shared" si="2"/>
        <v>2033</v>
      </c>
      <c r="J10" s="153">
        <f>I10-F10</f>
        <v>10</v>
      </c>
      <c r="K10" s="153">
        <f>(H10+J10)/2</f>
        <v>6</v>
      </c>
      <c r="L10" s="157">
        <f>IF(AND(K10&gt;0,K10&lt;3),L$31,0)</f>
        <v>0</v>
      </c>
      <c r="M10" s="157">
        <f>IF(AND(K10&gt;2,K10&lt;7),M$31,0)</f>
        <v>70.180000000000007</v>
      </c>
      <c r="N10" s="157">
        <f>IF(AND(K10&gt;6,K10&lt;11),N$31,0)</f>
        <v>0</v>
      </c>
      <c r="O10" s="157">
        <f>IF(AND(K10&gt;10,K10&lt;15),O$31,0)</f>
        <v>0</v>
      </c>
      <c r="P10" s="157">
        <f>IF(AND(K10&gt;14,K10&lt;19),P$31,0)</f>
        <v>0</v>
      </c>
      <c r="Q10" s="157">
        <f>IF(AND(K10&gt;18,K10&lt;21),Q$31,0)</f>
        <v>0</v>
      </c>
      <c r="R10" s="157">
        <f>IF(AND(K10&gt;20,K10&lt;23),R$31,0)</f>
        <v>0</v>
      </c>
      <c r="S10" s="157">
        <f>IF(AND(K10&gt;22,K10&lt;25),S$31,0)</f>
        <v>0</v>
      </c>
      <c r="T10" s="157">
        <f>IF(AND(K10&gt;24,K10&lt;27),T$31,0)</f>
        <v>0</v>
      </c>
      <c r="U10" s="157">
        <f>IF(K10&gt;26,U$31,0)</f>
        <v>0</v>
      </c>
      <c r="V10" s="157">
        <f>IF(A10&gt;0,SUM(L10:U10),0)</f>
        <v>0</v>
      </c>
    </row>
    <row r="11" spans="1:22">
      <c r="A11" s="47">
        <f>'A.2_Tabla Costes Nueva Contr'!A11</f>
        <v>0</v>
      </c>
      <c r="B11" s="51" t="str">
        <f>'A.2_Tabla Costes Nueva Contr'!B11</f>
        <v xml:space="preserve"> AUXILIAR JARD.  </v>
      </c>
      <c r="C11" s="51"/>
      <c r="D11" s="51"/>
      <c r="E11" s="151">
        <v>45200</v>
      </c>
      <c r="F11" s="152">
        <f>YEAR(E11)</f>
        <v>2023</v>
      </c>
      <c r="G11" s="153">
        <f t="shared" si="2"/>
        <v>2025</v>
      </c>
      <c r="H11" s="153">
        <f>G11-F11</f>
        <v>2</v>
      </c>
      <c r="I11" s="153">
        <f t="shared" si="2"/>
        <v>2033</v>
      </c>
      <c r="J11" s="153">
        <f>I11-F11</f>
        <v>10</v>
      </c>
      <c r="K11" s="153">
        <f>(H11+J11)/2</f>
        <v>6</v>
      </c>
      <c r="L11" s="157">
        <f>IF(AND(K11&gt;0,K11&lt;3),L$31,0)</f>
        <v>0</v>
      </c>
      <c r="M11" s="157">
        <f>IF(AND(K11&gt;2,K11&lt;7),M$31,0)</f>
        <v>70.180000000000007</v>
      </c>
      <c r="N11" s="157">
        <f>IF(AND(K11&gt;6,K11&lt;11),N$31,0)</f>
        <v>0</v>
      </c>
      <c r="O11" s="157">
        <f>IF(AND(K11&gt;10,K11&lt;15),O$31,0)</f>
        <v>0</v>
      </c>
      <c r="P11" s="157">
        <f>IF(AND(K11&gt;14,K11&lt;19),P$31,0)</f>
        <v>0</v>
      </c>
      <c r="Q11" s="157">
        <f>IF(AND(K11&gt;18,K11&lt;21),Q$31,0)</f>
        <v>0</v>
      </c>
      <c r="R11" s="157">
        <f>IF(AND(K11&gt;20,K11&lt;23),R$31,0)</f>
        <v>0</v>
      </c>
      <c r="S11" s="157">
        <f>IF(AND(K11&gt;22,K11&lt;25),S$31,0)</f>
        <v>0</v>
      </c>
      <c r="T11" s="157">
        <f>IF(AND(K11&gt;24,K11&lt;27),T$31,0)</f>
        <v>0</v>
      </c>
      <c r="U11" s="157">
        <f>IF(K11&gt;26,U$31,0)</f>
        <v>0</v>
      </c>
      <c r="V11" s="157">
        <f>IF(A11&gt;0,SUM(L11:U11),0)</f>
        <v>0</v>
      </c>
    </row>
    <row r="12" spans="1:22">
      <c r="A12" s="154"/>
      <c r="B12" s="154"/>
      <c r="C12" s="154"/>
      <c r="D12" s="154"/>
      <c r="E12" s="154"/>
      <c r="F12" s="154"/>
      <c r="G12" s="154"/>
      <c r="H12" s="154"/>
      <c r="I12" s="154"/>
      <c r="J12" s="154"/>
      <c r="K12" s="154"/>
      <c r="L12" s="154"/>
      <c r="M12" s="154"/>
      <c r="N12" s="154"/>
      <c r="O12" s="154"/>
      <c r="P12" s="154"/>
      <c r="Q12" s="154"/>
      <c r="R12" s="154"/>
      <c r="S12" s="154"/>
      <c r="T12" s="154"/>
      <c r="U12" s="154"/>
      <c r="V12" s="154"/>
    </row>
    <row r="13" spans="1:22">
      <c r="A13" s="47">
        <f>'A.2_Tabla Costes Nueva Contr'!A13</f>
        <v>0</v>
      </c>
      <c r="B13" s="51" t="str">
        <f>'A.2_Tabla Costes Nueva Contr'!B13</f>
        <v xml:space="preserve"> JARDINERO/A</v>
      </c>
      <c r="C13" s="51"/>
      <c r="D13" s="51"/>
      <c r="E13" s="151">
        <v>45200</v>
      </c>
      <c r="F13" s="152">
        <f t="shared" si="1"/>
        <v>2023</v>
      </c>
      <c r="G13" s="153">
        <f t="shared" si="2"/>
        <v>2025</v>
      </c>
      <c r="H13" s="153">
        <f t="shared" si="3"/>
        <v>2</v>
      </c>
      <c r="I13" s="153">
        <f t="shared" si="2"/>
        <v>2033</v>
      </c>
      <c r="J13" s="153">
        <f t="shared" si="4"/>
        <v>10</v>
      </c>
      <c r="K13" s="153">
        <f t="shared" si="0"/>
        <v>6</v>
      </c>
      <c r="L13" s="157">
        <f>IF(AND(K13&gt;0,K13&lt;3),L$31,0)</f>
        <v>0</v>
      </c>
      <c r="M13" s="157">
        <f>IF(AND(K13&gt;2,K13&lt;7),M$31,0)</f>
        <v>70.180000000000007</v>
      </c>
      <c r="N13" s="157">
        <f>IF(AND(K13&gt;6,K13&lt;11),N$31,0)</f>
        <v>0</v>
      </c>
      <c r="O13" s="157">
        <f>IF(AND(K13&gt;10,K13&lt;15),O$31,0)</f>
        <v>0</v>
      </c>
      <c r="P13" s="157">
        <f>IF(AND(K13&gt;14,K13&lt;19),P$31,0)</f>
        <v>0</v>
      </c>
      <c r="Q13" s="157">
        <f>IF(AND(K13&gt;18,K13&lt;21),Q$31,0)</f>
        <v>0</v>
      </c>
      <c r="R13" s="157">
        <f>IF(AND(K13&gt;20,K13&lt;23),R$31,0)</f>
        <v>0</v>
      </c>
      <c r="S13" s="157">
        <f>IF(AND(K13&gt;22,K13&lt;25),S$31,0)</f>
        <v>0</v>
      </c>
      <c r="T13" s="157">
        <f>IF(AND(K13&gt;24,K13&lt;27),T$31,0)</f>
        <v>0</v>
      </c>
      <c r="U13" s="157">
        <f>IF(K13&gt;26,U$31,0)</f>
        <v>0</v>
      </c>
      <c r="V13" s="157">
        <f>IF(A13&gt;0,SUM(L13:U13),0)</f>
        <v>0</v>
      </c>
    </row>
    <row r="14" spans="1:22">
      <c r="A14" s="47">
        <f>'A.2_Tabla Costes Nueva Contr'!A14</f>
        <v>0</v>
      </c>
      <c r="B14" s="51" t="str">
        <f>'A.2_Tabla Costes Nueva Contr'!B14</f>
        <v xml:space="preserve"> JARDINERO/A</v>
      </c>
      <c r="C14" s="51"/>
      <c r="D14" s="51"/>
      <c r="E14" s="151">
        <v>45200</v>
      </c>
      <c r="F14" s="152">
        <f t="shared" si="1"/>
        <v>2023</v>
      </c>
      <c r="G14" s="153">
        <f t="shared" si="2"/>
        <v>2025</v>
      </c>
      <c r="H14" s="153">
        <f t="shared" si="3"/>
        <v>2</v>
      </c>
      <c r="I14" s="153">
        <f t="shared" si="2"/>
        <v>2033</v>
      </c>
      <c r="J14" s="153">
        <f t="shared" si="4"/>
        <v>10</v>
      </c>
      <c r="K14" s="153">
        <f t="shared" si="0"/>
        <v>6</v>
      </c>
      <c r="L14" s="157">
        <f>IF(AND(K14&gt;0,K14&lt;3),L$31,0)</f>
        <v>0</v>
      </c>
      <c r="M14" s="157">
        <f>IF(AND(K14&gt;2,K14&lt;7),M$31,0)</f>
        <v>70.180000000000007</v>
      </c>
      <c r="N14" s="157">
        <f>IF(AND(K14&gt;6,K14&lt;11),N$31,0)</f>
        <v>0</v>
      </c>
      <c r="O14" s="157">
        <f>IF(AND(K14&gt;10,K14&lt;15),O$31,0)</f>
        <v>0</v>
      </c>
      <c r="P14" s="157">
        <f>IF(AND(K14&gt;14,K14&lt;19),P$31,0)</f>
        <v>0</v>
      </c>
      <c r="Q14" s="157">
        <f>IF(AND(K14&gt;18,K14&lt;21),Q$31,0)</f>
        <v>0</v>
      </c>
      <c r="R14" s="157">
        <f>IF(AND(K14&gt;20,K14&lt;23),R$31,0)</f>
        <v>0</v>
      </c>
      <c r="S14" s="157">
        <f>IF(AND(K14&gt;22,K14&lt;25),S$31,0)</f>
        <v>0</v>
      </c>
      <c r="T14" s="157">
        <f>IF(AND(K14&gt;24,K14&lt;27),T$31,0)</f>
        <v>0</v>
      </c>
      <c r="U14" s="157">
        <f>IF(K14&gt;26,U$31,0)</f>
        <v>0</v>
      </c>
      <c r="V14" s="157">
        <f>IF(A14&gt;0,SUM(L14:U14),0)</f>
        <v>0</v>
      </c>
    </row>
    <row r="15" spans="1:22">
      <c r="A15" s="154"/>
      <c r="B15" s="154"/>
      <c r="C15" s="154"/>
      <c r="D15" s="154"/>
      <c r="E15" s="154"/>
      <c r="F15" s="154"/>
      <c r="G15" s="154"/>
      <c r="H15" s="154"/>
      <c r="I15" s="154"/>
      <c r="J15" s="154"/>
      <c r="K15" s="154"/>
      <c r="L15" s="154"/>
      <c r="M15" s="154"/>
      <c r="N15" s="154"/>
      <c r="O15" s="154"/>
      <c r="P15" s="154"/>
      <c r="Q15" s="154"/>
      <c r="R15" s="154"/>
      <c r="S15" s="154"/>
      <c r="T15" s="154"/>
      <c r="U15" s="154"/>
      <c r="V15" s="154"/>
    </row>
    <row r="16" spans="1:22">
      <c r="A16" s="47">
        <f>'A.2_Tabla Costes Nueva Contr'!A16</f>
        <v>0</v>
      </c>
      <c r="B16" s="51" t="str">
        <f>'A.2_Tabla Costes Nueva Contr'!B16</f>
        <v xml:space="preserve"> OFICIAL JARD.  </v>
      </c>
      <c r="C16" s="51"/>
      <c r="D16" s="51"/>
      <c r="E16" s="151">
        <v>45200</v>
      </c>
      <c r="F16" s="152">
        <f t="shared" si="1"/>
        <v>2023</v>
      </c>
      <c r="G16" s="153">
        <f t="shared" si="2"/>
        <v>2025</v>
      </c>
      <c r="H16" s="153">
        <f t="shared" si="3"/>
        <v>2</v>
      </c>
      <c r="I16" s="153">
        <f t="shared" si="2"/>
        <v>2033</v>
      </c>
      <c r="J16" s="153">
        <f t="shared" si="4"/>
        <v>10</v>
      </c>
      <c r="K16" s="153">
        <f t="shared" si="0"/>
        <v>6</v>
      </c>
      <c r="L16" s="157">
        <f>IF(AND(K16&gt;0,K16&lt;3),L$31,0)</f>
        <v>0</v>
      </c>
      <c r="M16" s="157">
        <f>IF(AND(K16&gt;2,K16&lt;7),M$31,0)</f>
        <v>70.180000000000007</v>
      </c>
      <c r="N16" s="157">
        <f>IF(AND(K16&gt;6,K16&lt;11),N$31,0)</f>
        <v>0</v>
      </c>
      <c r="O16" s="157">
        <f>IF(AND(K16&gt;10,K16&lt;15),O$31,0)</f>
        <v>0</v>
      </c>
      <c r="P16" s="157">
        <f>IF(AND(K16&gt;14,K16&lt;19),P$31,0)</f>
        <v>0</v>
      </c>
      <c r="Q16" s="157">
        <f>IF(AND(K16&gt;18,K16&lt;21),Q$31,0)</f>
        <v>0</v>
      </c>
      <c r="R16" s="157">
        <f>IF(AND(K16&gt;20,K16&lt;23),R$31,0)</f>
        <v>0</v>
      </c>
      <c r="S16" s="157">
        <f>IF(AND(K16&gt;22,K16&lt;25),S$31,0)</f>
        <v>0</v>
      </c>
      <c r="T16" s="157">
        <f>IF(AND(K16&gt;24,K16&lt;27),T$31,0)</f>
        <v>0</v>
      </c>
      <c r="U16" s="157">
        <f>IF(K16&gt;26,U$31,0)</f>
        <v>0</v>
      </c>
      <c r="V16" s="157">
        <f>IF(A16&gt;0,SUM(L16:U16),0)</f>
        <v>0</v>
      </c>
    </row>
    <row r="17" spans="1:22">
      <c r="A17" s="47">
        <f>'A.2_Tabla Costes Nueva Contr'!A17</f>
        <v>0</v>
      </c>
      <c r="B17" s="51" t="str">
        <f>'A.2_Tabla Costes Nueva Contr'!B17</f>
        <v xml:space="preserve"> OFICIAL COND.  </v>
      </c>
      <c r="C17" s="51"/>
      <c r="D17" s="51"/>
      <c r="E17" s="151">
        <v>45200</v>
      </c>
      <c r="F17" s="152">
        <f t="shared" si="1"/>
        <v>2023</v>
      </c>
      <c r="G17" s="153">
        <f t="shared" si="2"/>
        <v>2025</v>
      </c>
      <c r="H17" s="153">
        <f t="shared" si="3"/>
        <v>2</v>
      </c>
      <c r="I17" s="153">
        <f t="shared" si="2"/>
        <v>2033</v>
      </c>
      <c r="J17" s="153">
        <f t="shared" si="4"/>
        <v>10</v>
      </c>
      <c r="K17" s="153">
        <f t="shared" si="0"/>
        <v>6</v>
      </c>
      <c r="L17" s="157">
        <f>IF(AND(K17&gt;0,K17&lt;3),L$31,0)</f>
        <v>0</v>
      </c>
      <c r="M17" s="157">
        <f>IF(AND(K17&gt;2,K17&lt;7),M$31,0)</f>
        <v>70.180000000000007</v>
      </c>
      <c r="N17" s="157">
        <f>IF(AND(K17&gt;6,K17&lt;11),N$31,0)</f>
        <v>0</v>
      </c>
      <c r="O17" s="157">
        <f>IF(AND(K17&gt;10,K17&lt;15),O$31,0)</f>
        <v>0</v>
      </c>
      <c r="P17" s="157">
        <f>IF(AND(K17&gt;14,K17&lt;19),P$31,0)</f>
        <v>0</v>
      </c>
      <c r="Q17" s="157">
        <f>IF(AND(K17&gt;18,K17&lt;21),Q$31,0)</f>
        <v>0</v>
      </c>
      <c r="R17" s="157">
        <f>IF(AND(K17&gt;20,K17&lt;23),R$31,0)</f>
        <v>0</v>
      </c>
      <c r="S17" s="157">
        <f>IF(AND(K17&gt;22,K17&lt;25),S$31,0)</f>
        <v>0</v>
      </c>
      <c r="T17" s="157">
        <f>IF(AND(K17&gt;24,K17&lt;27),T$31,0)</f>
        <v>0</v>
      </c>
      <c r="U17" s="157">
        <f>IF(K17&gt;26,U$31,0)</f>
        <v>0</v>
      </c>
      <c r="V17" s="157">
        <f>IF(A17&gt;0,SUM(L17:U17),0)</f>
        <v>0</v>
      </c>
    </row>
    <row r="18" spans="1:22">
      <c r="A18" s="47">
        <f>'A.2_Tabla Costes Nueva Contr'!A18</f>
        <v>0</v>
      </c>
      <c r="B18" s="51" t="str">
        <f>'A.2_Tabla Costes Nueva Contr'!B18</f>
        <v xml:space="preserve"> OFICIAL JARD.  </v>
      </c>
      <c r="C18" s="51"/>
      <c r="D18" s="51"/>
      <c r="E18" s="151">
        <v>45200</v>
      </c>
      <c r="F18" s="152">
        <f t="shared" si="1"/>
        <v>2023</v>
      </c>
      <c r="G18" s="153">
        <f t="shared" si="2"/>
        <v>2025</v>
      </c>
      <c r="H18" s="153">
        <f t="shared" si="3"/>
        <v>2</v>
      </c>
      <c r="I18" s="153">
        <f t="shared" si="2"/>
        <v>2033</v>
      </c>
      <c r="J18" s="153">
        <f t="shared" si="4"/>
        <v>10</v>
      </c>
      <c r="K18" s="153">
        <f t="shared" si="0"/>
        <v>6</v>
      </c>
      <c r="L18" s="157">
        <f>IF(AND(K18&gt;0,K18&lt;3),L$31,0)</f>
        <v>0</v>
      </c>
      <c r="M18" s="157">
        <f>IF(AND(K18&gt;2,K18&lt;7),M$31,0)</f>
        <v>70.180000000000007</v>
      </c>
      <c r="N18" s="157">
        <f>IF(AND(K18&gt;6,K18&lt;11),N$31,0)</f>
        <v>0</v>
      </c>
      <c r="O18" s="157">
        <f>IF(AND(K18&gt;10,K18&lt;15),O$31,0)</f>
        <v>0</v>
      </c>
      <c r="P18" s="157">
        <f>IF(AND(K18&gt;14,K18&lt;19),P$31,0)</f>
        <v>0</v>
      </c>
      <c r="Q18" s="157">
        <f>IF(AND(K18&gt;18,K18&lt;21),Q$31,0)</f>
        <v>0</v>
      </c>
      <c r="R18" s="157">
        <f>IF(AND(K18&gt;20,K18&lt;23),R$31,0)</f>
        <v>0</v>
      </c>
      <c r="S18" s="157">
        <f>IF(AND(K18&gt;22,K18&lt;25),S$31,0)</f>
        <v>0</v>
      </c>
      <c r="T18" s="157">
        <f>IF(AND(K18&gt;24,K18&lt;27),T$31,0)</f>
        <v>0</v>
      </c>
      <c r="U18" s="157">
        <f>IF(K18&gt;26,U$31,0)</f>
        <v>0</v>
      </c>
      <c r="V18" s="157">
        <f>IF(A18&gt;0,SUM(L18:U18),0)</f>
        <v>0</v>
      </c>
    </row>
    <row r="19" spans="1:22">
      <c r="A19" s="47">
        <f>'A.2_Tabla Costes Nueva Contr'!A19</f>
        <v>0</v>
      </c>
      <c r="B19" s="51" t="str">
        <f>'A.2_Tabla Costes Nueva Contr'!B19</f>
        <v xml:space="preserve"> OFICIAL COND.  </v>
      </c>
      <c r="C19" s="51"/>
      <c r="D19" s="51"/>
      <c r="E19" s="151">
        <v>45200</v>
      </c>
      <c r="F19" s="152">
        <f>YEAR(E19)</f>
        <v>2023</v>
      </c>
      <c r="G19" s="153">
        <f t="shared" si="2"/>
        <v>2025</v>
      </c>
      <c r="H19" s="153">
        <f>G19-F19</f>
        <v>2</v>
      </c>
      <c r="I19" s="153">
        <f t="shared" si="2"/>
        <v>2033</v>
      </c>
      <c r="J19" s="153">
        <f>I19-F19</f>
        <v>10</v>
      </c>
      <c r="K19" s="153">
        <f>(H19+J19)/2</f>
        <v>6</v>
      </c>
      <c r="L19" s="157">
        <f>IF(AND(K19&gt;0,K19&lt;3),L$31,0)</f>
        <v>0</v>
      </c>
      <c r="M19" s="157">
        <f>IF(AND(K19&gt;2,K19&lt;7),M$31,0)</f>
        <v>70.180000000000007</v>
      </c>
      <c r="N19" s="157">
        <f>IF(AND(K19&gt;6,K19&lt;11),N$31,0)</f>
        <v>0</v>
      </c>
      <c r="O19" s="157">
        <f>IF(AND(K19&gt;10,K19&lt;15),O$31,0)</f>
        <v>0</v>
      </c>
      <c r="P19" s="157">
        <f>IF(AND(K19&gt;14,K19&lt;19),P$31,0)</f>
        <v>0</v>
      </c>
      <c r="Q19" s="157">
        <f>IF(AND(K19&gt;18,K19&lt;21),Q$31,0)</f>
        <v>0</v>
      </c>
      <c r="R19" s="157">
        <f>IF(AND(K19&gt;20,K19&lt;23),R$31,0)</f>
        <v>0</v>
      </c>
      <c r="S19" s="157">
        <f>IF(AND(K19&gt;22,K19&lt;25),S$31,0)</f>
        <v>0</v>
      </c>
      <c r="T19" s="157">
        <f>IF(AND(K19&gt;24,K19&lt;27),T$31,0)</f>
        <v>0</v>
      </c>
      <c r="U19" s="157">
        <f>IF(K19&gt;26,U$31,0)</f>
        <v>0</v>
      </c>
      <c r="V19" s="157">
        <f>IF(A19&gt;0,SUM(L19:U19),0)</f>
        <v>0</v>
      </c>
    </row>
    <row r="20" spans="1:22">
      <c r="A20" s="47">
        <f>'A.2_Tabla Costes Nueva Contr'!A20</f>
        <v>0</v>
      </c>
      <c r="B20" s="51" t="str">
        <f>'A.2_Tabla Costes Nueva Contr'!B20</f>
        <v xml:space="preserve"> OFICIAL JARD.  </v>
      </c>
      <c r="C20" s="51"/>
      <c r="D20" s="51"/>
      <c r="E20" s="151">
        <v>45200</v>
      </c>
      <c r="F20" s="152">
        <f>YEAR(E20)</f>
        <v>2023</v>
      </c>
      <c r="G20" s="153">
        <f t="shared" si="2"/>
        <v>2025</v>
      </c>
      <c r="H20" s="153">
        <f>G20-F20</f>
        <v>2</v>
      </c>
      <c r="I20" s="153">
        <f t="shared" si="2"/>
        <v>2033</v>
      </c>
      <c r="J20" s="153">
        <f>I20-F20</f>
        <v>10</v>
      </c>
      <c r="K20" s="153">
        <f>(H20+J20)/2</f>
        <v>6</v>
      </c>
      <c r="L20" s="157">
        <f>IF(AND(K20&gt;0,K20&lt;3),L$31,0)</f>
        <v>0</v>
      </c>
      <c r="M20" s="157">
        <f>IF(AND(K20&gt;2,K20&lt;7),M$31,0)</f>
        <v>70.180000000000007</v>
      </c>
      <c r="N20" s="157">
        <f>IF(AND(K20&gt;6,K20&lt;11),N$31,0)</f>
        <v>0</v>
      </c>
      <c r="O20" s="157">
        <f>IF(AND(K20&gt;10,K20&lt;15),O$31,0)</f>
        <v>0</v>
      </c>
      <c r="P20" s="157">
        <f>IF(AND(K20&gt;14,K20&lt;19),P$31,0)</f>
        <v>0</v>
      </c>
      <c r="Q20" s="157">
        <f>IF(AND(K20&gt;18,K20&lt;21),Q$31,0)</f>
        <v>0</v>
      </c>
      <c r="R20" s="157">
        <f>IF(AND(K20&gt;20,K20&lt;23),R$31,0)</f>
        <v>0</v>
      </c>
      <c r="S20" s="157">
        <f>IF(AND(K20&gt;22,K20&lt;25),S$31,0)</f>
        <v>0</v>
      </c>
      <c r="T20" s="157">
        <f>IF(AND(K20&gt;24,K20&lt;27),T$31,0)</f>
        <v>0</v>
      </c>
      <c r="U20" s="157">
        <f>IF(K20&gt;26,U$31,0)</f>
        <v>0</v>
      </c>
      <c r="V20" s="157">
        <f>IF(A20&gt;0,SUM(L20:U20),0)</f>
        <v>0</v>
      </c>
    </row>
    <row r="21" spans="1:22">
      <c r="A21" s="154"/>
      <c r="B21" s="154"/>
      <c r="C21" s="154"/>
      <c r="D21" s="154"/>
      <c r="E21" s="154"/>
      <c r="F21" s="154"/>
      <c r="G21" s="154"/>
      <c r="H21" s="154"/>
      <c r="I21" s="154"/>
      <c r="J21" s="154"/>
      <c r="K21" s="154"/>
      <c r="L21" s="154"/>
      <c r="M21" s="154"/>
      <c r="N21" s="154"/>
      <c r="O21" s="154"/>
      <c r="P21" s="154"/>
      <c r="Q21" s="154"/>
      <c r="R21" s="154"/>
      <c r="S21" s="154"/>
      <c r="T21" s="154"/>
      <c r="U21" s="154"/>
      <c r="V21" s="154"/>
    </row>
    <row r="22" spans="1:22">
      <c r="A22" s="47">
        <f>'A.2_Tabla Costes Nueva Contr'!A22</f>
        <v>0</v>
      </c>
      <c r="B22" s="51" t="str">
        <f>'A.2_Tabla Costes Nueva Contr'!B22</f>
        <v xml:space="preserve"> ENCARGADO/A</v>
      </c>
      <c r="C22" s="51"/>
      <c r="D22" s="51"/>
      <c r="E22" s="151">
        <v>45200</v>
      </c>
      <c r="F22" s="152">
        <f t="shared" si="1"/>
        <v>2023</v>
      </c>
      <c r="G22" s="153">
        <f t="shared" si="2"/>
        <v>2025</v>
      </c>
      <c r="H22" s="153">
        <f t="shared" si="3"/>
        <v>2</v>
      </c>
      <c r="I22" s="153">
        <f t="shared" si="2"/>
        <v>2033</v>
      </c>
      <c r="J22" s="153">
        <f t="shared" si="4"/>
        <v>10</v>
      </c>
      <c r="K22" s="153">
        <f t="shared" si="0"/>
        <v>6</v>
      </c>
      <c r="L22" s="157">
        <f>IF(AND(K22&gt;0,K22&lt;3),L$31,0)</f>
        <v>0</v>
      </c>
      <c r="M22" s="157">
        <f>IF(AND(K22&gt;2,K22&lt;7),M$31,0)</f>
        <v>70.180000000000007</v>
      </c>
      <c r="N22" s="157">
        <f>IF(AND(K22&gt;6,K22&lt;11),N$31,0)</f>
        <v>0</v>
      </c>
      <c r="O22" s="157">
        <f>IF(AND(K22&gt;10,K22&lt;15),O$31,0)</f>
        <v>0</v>
      </c>
      <c r="P22" s="157">
        <f>IF(AND(K22&gt;14,K22&lt;19),P$31,0)</f>
        <v>0</v>
      </c>
      <c r="Q22" s="157">
        <f>IF(AND(K22&gt;18,K22&lt;21),Q$31,0)</f>
        <v>0</v>
      </c>
      <c r="R22" s="157">
        <f>IF(AND(K22&gt;20,K22&lt;23),R$31,0)</f>
        <v>0</v>
      </c>
      <c r="S22" s="157">
        <f>IF(AND(K22&gt;22,K22&lt;25),S$31,0)</f>
        <v>0</v>
      </c>
      <c r="T22" s="157">
        <f>IF(AND(K22&gt;24,K22&lt;27),T$31,0)</f>
        <v>0</v>
      </c>
      <c r="U22" s="157">
        <f>IF(K22&gt;26,U$31,0)</f>
        <v>0</v>
      </c>
      <c r="V22" s="157">
        <f>IF(A22&gt;0,SUM(L22:U22),0)</f>
        <v>0</v>
      </c>
    </row>
    <row r="23" spans="1:22">
      <c r="A23" s="154"/>
      <c r="B23" s="154"/>
      <c r="C23" s="154"/>
      <c r="D23" s="154"/>
      <c r="E23" s="154"/>
      <c r="F23" s="154"/>
      <c r="G23" s="154"/>
      <c r="H23" s="154"/>
      <c r="I23" s="154"/>
      <c r="J23" s="154"/>
      <c r="K23" s="154"/>
      <c r="L23" s="154"/>
      <c r="M23" s="154"/>
      <c r="N23" s="154"/>
      <c r="O23" s="154"/>
      <c r="P23" s="154"/>
      <c r="Q23" s="154"/>
      <c r="R23" s="154"/>
      <c r="S23" s="154"/>
      <c r="T23" s="154"/>
      <c r="U23" s="154"/>
      <c r="V23" s="154"/>
    </row>
    <row r="24" spans="1:22">
      <c r="A24" s="47">
        <f>'A.2_Tabla Costes Nueva Contr'!A24</f>
        <v>0</v>
      </c>
      <c r="B24" s="51" t="str">
        <f>'A.2_Tabla Costes Nueva Contr'!B24</f>
        <v xml:space="preserve"> TÉCNICO/A DIPLOMADO/A  </v>
      </c>
      <c r="C24" s="51"/>
      <c r="D24" s="51"/>
      <c r="E24" s="151">
        <v>45200</v>
      </c>
      <c r="F24" s="152">
        <f t="shared" si="1"/>
        <v>2023</v>
      </c>
      <c r="G24" s="153">
        <f t="shared" si="2"/>
        <v>2025</v>
      </c>
      <c r="H24" s="153">
        <f t="shared" si="3"/>
        <v>2</v>
      </c>
      <c r="I24" s="153">
        <f t="shared" si="2"/>
        <v>2033</v>
      </c>
      <c r="J24" s="153">
        <f t="shared" si="4"/>
        <v>10</v>
      </c>
      <c r="K24" s="153">
        <f t="shared" si="0"/>
        <v>6</v>
      </c>
      <c r="L24" s="157">
        <f>IF(AND(K24&gt;0,K24&lt;3),L$33,0)</f>
        <v>0</v>
      </c>
      <c r="M24" s="157">
        <f>IF(AND(K24&gt;2,K24&lt;7),M$33,0)</f>
        <v>96.14</v>
      </c>
      <c r="N24" s="157">
        <f>IF(AND(K24&gt;6,K24&lt;11),N$33,0)</f>
        <v>0</v>
      </c>
      <c r="O24" s="157">
        <f>IF(AND(K24&gt;10,K24&lt;15),O$33,0)</f>
        <v>0</v>
      </c>
      <c r="P24" s="157">
        <f>IF(AND(K24&gt;14,K24&lt;19),P$33,0)</f>
        <v>0</v>
      </c>
      <c r="Q24" s="157">
        <f>IF(AND(K24&gt;18,K24&lt;21),Q$33,0)</f>
        <v>0</v>
      </c>
      <c r="R24" s="157">
        <f>IF(AND(K24&gt;20,K24&lt;23),R$33,0)</f>
        <v>0</v>
      </c>
      <c r="S24" s="157">
        <f>IF(AND(K24&gt;22,K24&lt;25),S$33,0)</f>
        <v>0</v>
      </c>
      <c r="T24" s="157">
        <f>IF(AND(K24&gt;24,K24&lt;27),T$33,0)</f>
        <v>0</v>
      </c>
      <c r="U24" s="157">
        <f>IF(K24&gt;26,U$33,0)</f>
        <v>0</v>
      </c>
      <c r="V24" s="157">
        <f>IF(A24&gt;0,SUM(L24:U24),0)</f>
        <v>0</v>
      </c>
    </row>
    <row r="25" spans="1:22">
      <c r="A25" s="154"/>
      <c r="B25" s="154"/>
      <c r="C25" s="154"/>
      <c r="D25" s="154"/>
      <c r="E25" s="154"/>
      <c r="F25" s="154"/>
      <c r="G25" s="154"/>
      <c r="H25" s="154"/>
      <c r="I25" s="154"/>
      <c r="J25" s="154"/>
      <c r="K25" s="154"/>
      <c r="L25" s="154"/>
      <c r="M25" s="154"/>
      <c r="N25" s="154"/>
      <c r="O25" s="154"/>
      <c r="P25" s="154"/>
      <c r="Q25" s="154"/>
      <c r="R25" s="154"/>
      <c r="S25" s="154"/>
      <c r="T25" s="154"/>
      <c r="U25" s="154"/>
      <c r="V25" s="154"/>
    </row>
    <row r="26" spans="1:22">
      <c r="A26" s="47">
        <f>'A.2_Tabla Costes Nueva Contr'!A26</f>
        <v>0</v>
      </c>
      <c r="B26" s="51" t="str">
        <f>'A.2_Tabla Costes Nueva Contr'!B26</f>
        <v xml:space="preserve"> ADMINISTRATIVO/A  </v>
      </c>
      <c r="C26" s="51"/>
      <c r="D26" s="51"/>
      <c r="E26" s="151">
        <v>45200</v>
      </c>
      <c r="F26" s="152">
        <f t="shared" si="1"/>
        <v>2023</v>
      </c>
      <c r="G26" s="153">
        <f t="shared" si="2"/>
        <v>2025</v>
      </c>
      <c r="H26" s="153">
        <f t="shared" si="3"/>
        <v>2</v>
      </c>
      <c r="I26" s="153">
        <f t="shared" si="2"/>
        <v>2033</v>
      </c>
      <c r="J26" s="153">
        <f t="shared" si="4"/>
        <v>10</v>
      </c>
      <c r="K26" s="153">
        <f t="shared" si="0"/>
        <v>6</v>
      </c>
      <c r="L26" s="157">
        <f>IF(AND(K26&gt;0,K26&lt;3),L$32,0)</f>
        <v>0</v>
      </c>
      <c r="M26" s="157">
        <f>IF(AND(K26&gt;2,K26&lt;7),M$32,0)</f>
        <v>75.790000000000006</v>
      </c>
      <c r="N26" s="157">
        <f>IF(AND(K26&gt;6,K26&lt;11),N$32,0)</f>
        <v>0</v>
      </c>
      <c r="O26" s="157">
        <f>IF(AND(K26&gt;10,K26&lt;15),O$32,0)</f>
        <v>0</v>
      </c>
      <c r="P26" s="157">
        <f>IF(AND(K26&gt;14,K26&lt;19),P$32,0)</f>
        <v>0</v>
      </c>
      <c r="Q26" s="157">
        <f>IF(AND(K26&gt;18,K26&lt;21),Q$32,0)</f>
        <v>0</v>
      </c>
      <c r="R26" s="157">
        <f>IF(AND(K26&gt;20,K26&lt;23),R$32,0)</f>
        <v>0</v>
      </c>
      <c r="S26" s="157">
        <f>IF(AND(K26&gt;22,K26&lt;25),S$32,0)</f>
        <v>0</v>
      </c>
      <c r="T26" s="157">
        <f>IF(AND(K26&gt;24,K26&lt;27),T$32,0)</f>
        <v>0</v>
      </c>
      <c r="U26" s="157">
        <f>IF(K26&gt;26,U$32,0)</f>
        <v>0</v>
      </c>
      <c r="V26" s="157">
        <f>IF(A26&gt;0,SUM(L26:U26),0)</f>
        <v>0</v>
      </c>
    </row>
    <row r="27" spans="1:22" ht="6" customHeight="1">
      <c r="B27" s="49"/>
      <c r="C27" s="49"/>
      <c r="D27" s="49"/>
      <c r="E27" s="49"/>
      <c r="F27" s="49"/>
    </row>
    <row r="28" spans="1:22">
      <c r="A28" s="249"/>
      <c r="B28" s="601"/>
      <c r="C28" s="601"/>
      <c r="D28" s="601"/>
      <c r="E28" s="601"/>
      <c r="F28" s="251"/>
      <c r="G28" s="251"/>
      <c r="H28" s="251"/>
      <c r="I28" s="251"/>
      <c r="J28" s="251"/>
      <c r="K28" s="251"/>
      <c r="L28" s="251"/>
      <c r="M28" s="251"/>
      <c r="N28" s="251"/>
      <c r="O28" s="251"/>
      <c r="P28" s="251"/>
      <c r="Q28" s="251"/>
      <c r="R28" s="251"/>
      <c r="S28" s="251"/>
      <c r="T28" s="251"/>
      <c r="U28" s="251"/>
      <c r="V28" s="251"/>
    </row>
    <row r="29" spans="1:22">
      <c r="B29" s="47" t="s">
        <v>237</v>
      </c>
      <c r="E29" s="47" t="s">
        <v>237</v>
      </c>
    </row>
    <row r="30" spans="1:22">
      <c r="L30" s="155" t="s">
        <v>169</v>
      </c>
      <c r="M30" s="155" t="s">
        <v>171</v>
      </c>
      <c r="N30" s="155" t="s">
        <v>172</v>
      </c>
      <c r="O30" s="155" t="s">
        <v>173</v>
      </c>
      <c r="P30" s="155" t="s">
        <v>174</v>
      </c>
      <c r="Q30" s="155" t="s">
        <v>175</v>
      </c>
      <c r="R30" s="155" t="s">
        <v>176</v>
      </c>
      <c r="S30" s="155" t="s">
        <v>177</v>
      </c>
      <c r="T30" s="155" t="s">
        <v>178</v>
      </c>
      <c r="U30" s="155" t="s">
        <v>179</v>
      </c>
      <c r="V30" s="361"/>
    </row>
    <row r="31" spans="1:22">
      <c r="K31" s="48" t="s">
        <v>245</v>
      </c>
      <c r="L31" s="158">
        <f>'A.0_Tablas salariales SC'!D32</f>
        <v>25.32</v>
      </c>
      <c r="M31" s="158">
        <f>'A.0_Tablas salariales SC'!D33</f>
        <v>70.180000000000007</v>
      </c>
      <c r="N31" s="158">
        <f>'A.0_Tablas salariales SC'!D34</f>
        <v>122.83</v>
      </c>
      <c r="O31" s="158">
        <f>'A.0_Tablas salariales SC'!D35</f>
        <v>175.53</v>
      </c>
      <c r="P31" s="158">
        <f>'A.0_Tablas salariales SC'!D36</f>
        <v>219.94</v>
      </c>
      <c r="Q31" s="158">
        <f>'A.0_Tablas salariales SC'!D37</f>
        <v>264.41000000000003</v>
      </c>
      <c r="R31" s="158">
        <f>'A.0_Tablas salariales SC'!D38</f>
        <v>280.79000000000002</v>
      </c>
      <c r="S31" s="158">
        <f>'A.0_Tablas salariales SC'!D39</f>
        <v>343.31</v>
      </c>
      <c r="T31" s="158">
        <f>'A.0_Tablas salariales SC'!D40</f>
        <v>385.86</v>
      </c>
      <c r="U31" s="158">
        <f>'A.0_Tablas salariales SC'!D41</f>
        <v>421.15</v>
      </c>
      <c r="V31" s="158"/>
    </row>
    <row r="32" spans="1:22">
      <c r="K32" s="48" t="s">
        <v>246</v>
      </c>
      <c r="L32" s="158">
        <f>'A.0_Tablas salariales SC'!E32</f>
        <v>27.42</v>
      </c>
      <c r="M32" s="158">
        <f>'A.0_Tablas salariales SC'!E33</f>
        <v>75.790000000000006</v>
      </c>
      <c r="N32" s="158">
        <f>'A.0_Tablas salariales SC'!E34</f>
        <v>132.56</v>
      </c>
      <c r="O32" s="158">
        <f>'A.0_Tablas salariales SC'!E35</f>
        <v>189.36</v>
      </c>
      <c r="P32" s="158">
        <f>'A.0_Tablas salariales SC'!E36</f>
        <v>238.04</v>
      </c>
      <c r="Q32" s="158">
        <f>'A.0_Tablas salariales SC'!E37</f>
        <v>294.08999999999997</v>
      </c>
      <c r="R32" s="158">
        <f>'A.0_Tablas salariales SC'!E38</f>
        <v>302.98</v>
      </c>
      <c r="S32" s="158">
        <f>'A.0_Tablas salariales SC'!E39</f>
        <v>370.24</v>
      </c>
      <c r="T32" s="158">
        <f>'A.0_Tablas salariales SC'!E40</f>
        <v>416.19</v>
      </c>
      <c r="U32" s="158">
        <f>'A.0_Tablas salariales SC'!E41</f>
        <v>454.5</v>
      </c>
      <c r="V32" s="158"/>
    </row>
    <row r="33" spans="11:22">
      <c r="K33" s="48" t="s">
        <v>247</v>
      </c>
      <c r="L33" s="158">
        <f>'A.0_Tablas salariales SC'!F32</f>
        <v>34.950000000000003</v>
      </c>
      <c r="M33" s="158">
        <f>'A.0_Tablas salariales SC'!F33</f>
        <v>96.14</v>
      </c>
      <c r="N33" s="158">
        <f>'A.0_Tablas salariales SC'!F34</f>
        <v>168.24</v>
      </c>
      <c r="O33" s="158">
        <f>'A.0_Tablas salariales SC'!F35</f>
        <v>240.33</v>
      </c>
      <c r="P33" s="158">
        <f>'A.0_Tablas salariales SC'!F36</f>
        <v>302.73</v>
      </c>
      <c r="Q33" s="158">
        <f>'A.0_Tablas salariales SC'!F37</f>
        <v>364.3</v>
      </c>
      <c r="R33" s="158">
        <f>'A.0_Tablas salariales SC'!F38</f>
        <v>384.49</v>
      </c>
      <c r="S33" s="158">
        <f>'A.0_Tablas salariales SC'!F39</f>
        <v>442.03</v>
      </c>
      <c r="T33" s="158">
        <f>'A.0_Tablas salariales SC'!F40</f>
        <v>532.79999999999995</v>
      </c>
      <c r="U33" s="158">
        <f>'A.0_Tablas salariales SC'!F41</f>
        <v>576.83000000000004</v>
      </c>
      <c r="V33" s="158"/>
    </row>
  </sheetData>
  <mergeCells count="3">
    <mergeCell ref="A1:V1"/>
    <mergeCell ref="C4:E4"/>
    <mergeCell ref="B28:E28"/>
  </mergeCells>
  <conditionalFormatting sqref="L5:V26">
    <cfRule type="cellIs" dxfId="28" priority="1" operator="equal">
      <formula>0</formula>
    </cfRule>
  </conditionalFormatting>
  <pageMargins left="0.75" right="0.75" top="1" bottom="1" header="0" footer="0"/>
  <pageSetup paperSize="9" scale="5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39991454817346722"/>
    <pageSetUpPr fitToPage="1"/>
  </sheetPr>
  <dimension ref="A1:X511"/>
  <sheetViews>
    <sheetView showGridLines="0" workbookViewId="0">
      <selection activeCell="D16" sqref="D16:G16"/>
    </sheetView>
  </sheetViews>
  <sheetFormatPr baseColWidth="10" defaultColWidth="11.44140625" defaultRowHeight="14.4"/>
  <cols>
    <col min="1" max="1" width="3.109375" style="416" customWidth="1"/>
    <col min="2" max="2" width="4.88671875" style="422" customWidth="1"/>
    <col min="3" max="3" width="41.33203125" style="417" customWidth="1"/>
    <col min="4" max="6" width="5.6640625" style="417" customWidth="1"/>
    <col min="7" max="7" width="7.33203125" style="417" customWidth="1"/>
    <col min="8" max="10" width="5.6640625" style="417" customWidth="1"/>
    <col min="11" max="11" width="6.44140625" style="417" customWidth="1"/>
    <col min="12" max="15" width="5.6640625" style="417" customWidth="1"/>
    <col min="16" max="17" width="3.33203125" style="417" customWidth="1"/>
    <col min="18" max="20" width="6.44140625" style="417" customWidth="1"/>
    <col min="21" max="21" width="2.33203125" style="417" customWidth="1"/>
    <col min="22" max="22" width="3.33203125" style="417" customWidth="1"/>
    <col min="23" max="23" width="6.44140625" style="417" customWidth="1"/>
    <col min="24" max="24" width="12.77734375" style="417" bestFit="1" customWidth="1"/>
    <col min="25" max="16384" width="11.44140625" style="417"/>
  </cols>
  <sheetData>
    <row r="1" spans="1:24" ht="15" customHeight="1">
      <c r="B1" s="591" t="s">
        <v>249</v>
      </c>
      <c r="C1" s="591"/>
      <c r="D1" s="591"/>
      <c r="E1" s="591"/>
      <c r="F1" s="591"/>
      <c r="G1" s="591"/>
      <c r="H1" s="591"/>
      <c r="I1" s="591"/>
      <c r="J1" s="591"/>
      <c r="K1" s="591"/>
      <c r="L1" s="591"/>
      <c r="M1" s="591"/>
      <c r="N1" s="591"/>
      <c r="O1" s="591"/>
    </row>
    <row r="2" spans="1:24" ht="3.75" customHeight="1">
      <c r="B2" s="418"/>
      <c r="C2" s="419"/>
      <c r="D2" s="419"/>
      <c r="E2" s="419"/>
      <c r="F2" s="419"/>
      <c r="G2" s="419"/>
      <c r="H2" s="419"/>
      <c r="I2" s="419"/>
      <c r="J2" s="419"/>
      <c r="K2" s="419"/>
      <c r="L2" s="419"/>
      <c r="M2" s="419"/>
      <c r="N2" s="419"/>
      <c r="O2" s="419"/>
    </row>
    <row r="3" spans="1:24" ht="27.6" customHeight="1">
      <c r="B3" s="790" t="s">
        <v>95</v>
      </c>
      <c r="C3" s="791"/>
      <c r="D3" s="792" t="s">
        <v>1013</v>
      </c>
      <c r="E3" s="793"/>
      <c r="F3" s="793"/>
      <c r="G3" s="794"/>
      <c r="H3" s="792" t="s">
        <v>953</v>
      </c>
      <c r="I3" s="793"/>
      <c r="J3" s="793"/>
      <c r="K3" s="794"/>
      <c r="L3" s="792" t="s">
        <v>47</v>
      </c>
      <c r="M3" s="793"/>
      <c r="N3" s="793"/>
      <c r="O3" s="794"/>
    </row>
    <row r="4" spans="1:24" ht="15" customHeight="1">
      <c r="B4" s="420" t="s">
        <v>250</v>
      </c>
      <c r="C4" s="421" t="s">
        <v>251</v>
      </c>
      <c r="D4" s="798">
        <f>SUM('B.1.Vehículos'!Z8:Z62)</f>
        <v>295290.82635206322</v>
      </c>
      <c r="E4" s="799"/>
      <c r="F4" s="799"/>
      <c r="G4" s="800"/>
      <c r="H4" s="798">
        <f>SUM('B.1.Vehículos'!AP8:AP62)</f>
        <v>75799.20236000001</v>
      </c>
      <c r="I4" s="799"/>
      <c r="J4" s="799"/>
      <c r="K4" s="800"/>
      <c r="L4" s="801">
        <f>H4+D4</f>
        <v>371090.02871206321</v>
      </c>
      <c r="M4" s="801"/>
      <c r="N4" s="801"/>
      <c r="O4" s="801"/>
    </row>
    <row r="5" spans="1:24" ht="15" customHeight="1">
      <c r="B5" s="420" t="s">
        <v>252</v>
      </c>
      <c r="C5" s="421" t="s">
        <v>253</v>
      </c>
      <c r="D5" s="798">
        <f>SUM('B.2.Maquinaria'!Z7:Z100)</f>
        <v>106246.32272122317</v>
      </c>
      <c r="E5" s="799"/>
      <c r="F5" s="799"/>
      <c r="G5" s="800"/>
      <c r="H5" s="798">
        <f>SUM('B.2.Maquinaria'!AP7:AP100)</f>
        <v>83924.633244726559</v>
      </c>
      <c r="I5" s="799"/>
      <c r="J5" s="799"/>
      <c r="K5" s="800"/>
      <c r="L5" s="801">
        <f>H5+D5</f>
        <v>190170.95596594975</v>
      </c>
      <c r="M5" s="801"/>
      <c r="N5" s="801"/>
      <c r="O5" s="801"/>
    </row>
    <row r="6" spans="1:24" ht="15" customHeight="1">
      <c r="A6" s="417"/>
      <c r="B6" s="763" t="s">
        <v>254</v>
      </c>
      <c r="C6" s="763"/>
      <c r="D6" s="795"/>
      <c r="E6" s="796"/>
      <c r="F6" s="796"/>
      <c r="G6" s="796"/>
      <c r="H6" s="795"/>
      <c r="I6" s="796"/>
      <c r="J6" s="796"/>
      <c r="K6" s="796"/>
      <c r="L6" s="797">
        <f>L4+L5</f>
        <v>561260.98467801302</v>
      </c>
      <c r="M6" s="797"/>
      <c r="N6" s="797"/>
      <c r="O6" s="797"/>
    </row>
    <row r="7" spans="1:24" s="416" customFormat="1" ht="15" customHeight="1">
      <c r="B7" s="422"/>
      <c r="C7" s="417"/>
      <c r="D7" s="417"/>
      <c r="E7" s="417"/>
      <c r="F7" s="417"/>
      <c r="G7" s="417"/>
      <c r="H7" s="417"/>
      <c r="I7" s="417"/>
      <c r="J7" s="417"/>
      <c r="K7" s="417"/>
      <c r="L7" s="417"/>
      <c r="M7" s="417"/>
      <c r="N7" s="417"/>
      <c r="O7" s="417"/>
    </row>
    <row r="8" spans="1:24" s="416" customFormat="1" ht="15" customHeight="1">
      <c r="B8" s="422"/>
      <c r="C8" s="417"/>
      <c r="D8" s="417"/>
      <c r="E8" s="417"/>
      <c r="F8" s="417"/>
      <c r="G8" s="417"/>
      <c r="H8" s="417"/>
      <c r="I8" s="417"/>
      <c r="J8" s="417"/>
      <c r="K8" s="417"/>
      <c r="L8" s="417"/>
      <c r="M8" s="417"/>
      <c r="N8" s="417"/>
      <c r="O8" s="417"/>
    </row>
    <row r="9" spans="1:24" s="416" customFormat="1" ht="15" customHeight="1">
      <c r="B9" s="422"/>
      <c r="C9" s="423" t="s">
        <v>255</v>
      </c>
      <c r="D9" s="424">
        <v>5.3999999999999999E-2</v>
      </c>
      <c r="E9" s="417"/>
      <c r="F9" s="417"/>
      <c r="G9" s="417"/>
      <c r="H9" s="417"/>
      <c r="I9" s="417"/>
      <c r="J9" s="417"/>
      <c r="K9" s="417"/>
      <c r="L9" s="417"/>
      <c r="M9" s="417"/>
      <c r="N9" s="417"/>
      <c r="O9" s="417"/>
    </row>
    <row r="10" spans="1:24" s="416" customFormat="1" ht="15" customHeight="1">
      <c r="B10" s="422"/>
      <c r="C10" s="417"/>
      <c r="D10" s="417"/>
      <c r="E10" s="417"/>
      <c r="F10" s="417"/>
      <c r="G10" s="417"/>
      <c r="H10" s="417"/>
      <c r="I10" s="417"/>
      <c r="J10" s="417"/>
      <c r="K10" s="417"/>
      <c r="L10" s="417"/>
      <c r="M10" s="417"/>
      <c r="N10" s="417"/>
      <c r="O10" s="417"/>
    </row>
    <row r="11" spans="1:24" s="416" customFormat="1" ht="15" customHeight="1">
      <c r="B11" s="422"/>
      <c r="C11" s="417"/>
      <c r="D11" s="417"/>
      <c r="E11" s="417"/>
      <c r="F11" s="417"/>
      <c r="G11" s="417"/>
      <c r="H11" s="417"/>
      <c r="I11" s="417"/>
      <c r="J11" s="417"/>
      <c r="K11" s="417"/>
      <c r="L11" s="417"/>
      <c r="M11" s="417"/>
      <c r="N11" s="417"/>
      <c r="O11" s="417"/>
    </row>
    <row r="12" spans="1:24" s="416" customFormat="1" ht="15" customHeight="1">
      <c r="B12" s="422"/>
      <c r="C12" s="417"/>
      <c r="D12" s="417"/>
      <c r="E12" s="417"/>
      <c r="F12" s="417"/>
      <c r="G12" s="417"/>
      <c r="H12" s="417"/>
      <c r="I12" s="417"/>
      <c r="J12" s="417"/>
      <c r="K12" s="417"/>
      <c r="L12" s="417"/>
      <c r="M12" s="417"/>
      <c r="N12" s="417"/>
      <c r="O12" s="417"/>
    </row>
    <row r="13" spans="1:24" s="416" customFormat="1" ht="43.2" customHeight="1">
      <c r="B13" s="790" t="s">
        <v>954</v>
      </c>
      <c r="C13" s="791"/>
      <c r="D13" s="792" t="s">
        <v>955</v>
      </c>
      <c r="E13" s="793"/>
      <c r="F13" s="793"/>
      <c r="G13" s="794"/>
      <c r="H13" s="792" t="s">
        <v>956</v>
      </c>
      <c r="I13" s="793"/>
      <c r="J13" s="793"/>
      <c r="K13" s="794"/>
      <c r="L13" s="792" t="s">
        <v>957</v>
      </c>
      <c r="M13" s="793"/>
      <c r="N13" s="793"/>
      <c r="O13" s="794"/>
      <c r="P13" s="792" t="s">
        <v>965</v>
      </c>
      <c r="Q13" s="793"/>
      <c r="R13" s="793"/>
      <c r="S13" s="794"/>
      <c r="T13" s="792" t="s">
        <v>47</v>
      </c>
      <c r="U13" s="793"/>
      <c r="V13" s="793"/>
      <c r="W13" s="794"/>
    </row>
    <row r="14" spans="1:24" s="416" customFormat="1" ht="15" customHeight="1">
      <c r="B14" s="420" t="s">
        <v>250</v>
      </c>
      <c r="C14" s="421" t="s">
        <v>251</v>
      </c>
      <c r="D14" s="798">
        <f>'B.1.Vehículos'!U69</f>
        <v>268598.89275831322</v>
      </c>
      <c r="E14" s="799"/>
      <c r="F14" s="799"/>
      <c r="G14" s="800"/>
      <c r="H14" s="798">
        <f>'B.1.Vehículos'!AL70</f>
        <v>1433.92236</v>
      </c>
      <c r="I14" s="799"/>
      <c r="J14" s="799"/>
      <c r="K14" s="800"/>
      <c r="L14" s="798">
        <f>'B.1.Vehículos'!AJ69</f>
        <v>74365.279999999999</v>
      </c>
      <c r="M14" s="799"/>
      <c r="N14" s="799"/>
      <c r="O14" s="800"/>
      <c r="P14" s="798">
        <f>'B.1.Vehículos'!W70</f>
        <v>26691.93359375</v>
      </c>
      <c r="Q14" s="799"/>
      <c r="R14" s="799"/>
      <c r="S14" s="800"/>
      <c r="T14" s="801">
        <f>D14+H14+L14+P14</f>
        <v>371090.02871206321</v>
      </c>
      <c r="U14" s="801"/>
      <c r="V14" s="801"/>
      <c r="W14" s="801"/>
    </row>
    <row r="15" spans="1:24" s="416" customFormat="1" ht="15" customHeight="1">
      <c r="B15" s="420" t="s">
        <v>252</v>
      </c>
      <c r="C15" s="421" t="s">
        <v>253</v>
      </c>
      <c r="D15" s="798">
        <f>'B.2.Maquinaria'!U105</f>
        <v>95735.60319912844</v>
      </c>
      <c r="E15" s="799"/>
      <c r="F15" s="799"/>
      <c r="G15" s="800"/>
      <c r="H15" s="798">
        <f>'B.2.Maquinaria'!AL106</f>
        <v>3474.3532447265629</v>
      </c>
      <c r="I15" s="799"/>
      <c r="J15" s="799"/>
      <c r="K15" s="800"/>
      <c r="L15" s="798">
        <f>'B.2.Maquinaria'!AJ105</f>
        <v>80450.279999999984</v>
      </c>
      <c r="M15" s="799"/>
      <c r="N15" s="799"/>
      <c r="O15" s="800"/>
      <c r="P15" s="798">
        <f>'B.2.Maquinaria'!W106</f>
        <v>10510.719522094727</v>
      </c>
      <c r="Q15" s="799"/>
      <c r="R15" s="799"/>
      <c r="S15" s="800"/>
      <c r="T15" s="801">
        <f>D15+H15+L15+P15</f>
        <v>190170.95596594972</v>
      </c>
      <c r="U15" s="801"/>
      <c r="V15" s="801"/>
      <c r="W15" s="801"/>
      <c r="X15" s="539"/>
    </row>
    <row r="16" spans="1:24" s="416" customFormat="1" ht="15" customHeight="1">
      <c r="B16" s="802" t="s">
        <v>254</v>
      </c>
      <c r="C16" s="802"/>
      <c r="D16" s="803">
        <f>D14+D15</f>
        <v>364334.49595744163</v>
      </c>
      <c r="E16" s="803"/>
      <c r="F16" s="803"/>
      <c r="G16" s="803"/>
      <c r="H16" s="803">
        <f>H14+H15</f>
        <v>4908.275604726563</v>
      </c>
      <c r="I16" s="803"/>
      <c r="J16" s="803"/>
      <c r="K16" s="803"/>
      <c r="L16" s="803">
        <f>L14+L15</f>
        <v>154815.56</v>
      </c>
      <c r="M16" s="803"/>
      <c r="N16" s="803"/>
      <c r="O16" s="803"/>
      <c r="P16" s="803">
        <f>P14+P15</f>
        <v>37202.653115844725</v>
      </c>
      <c r="Q16" s="803"/>
      <c r="R16" s="803"/>
      <c r="S16" s="803"/>
      <c r="T16" s="803">
        <f>T14+T15</f>
        <v>561260.9846780129</v>
      </c>
      <c r="U16" s="803"/>
      <c r="V16" s="803"/>
      <c r="W16" s="803"/>
    </row>
    <row r="17" spans="2:15" s="416" customFormat="1" ht="15" customHeight="1">
      <c r="B17" s="422"/>
      <c r="C17" s="417"/>
      <c r="D17" s="417"/>
      <c r="E17" s="417"/>
      <c r="F17" s="417"/>
      <c r="G17" s="417"/>
      <c r="H17" s="417"/>
      <c r="I17" s="417"/>
      <c r="J17" s="417"/>
      <c r="K17" s="417"/>
      <c r="L17" s="417"/>
      <c r="M17" s="417"/>
      <c r="N17" s="417"/>
      <c r="O17" s="417"/>
    </row>
    <row r="18" spans="2:15" s="416" customFormat="1" ht="15" customHeight="1">
      <c r="B18" s="422"/>
      <c r="C18" s="417"/>
      <c r="D18" s="417"/>
      <c r="E18" s="417"/>
      <c r="F18" s="417"/>
      <c r="G18" s="417"/>
      <c r="H18" s="417"/>
      <c r="I18" s="417"/>
      <c r="J18" s="417"/>
      <c r="K18" s="417"/>
      <c r="L18" s="417"/>
      <c r="M18" s="417"/>
      <c r="N18" s="417"/>
      <c r="O18" s="417"/>
    </row>
    <row r="19" spans="2:15" s="416" customFormat="1" ht="31.2" customHeight="1">
      <c r="B19" s="790" t="s">
        <v>954</v>
      </c>
      <c r="C19" s="791"/>
      <c r="D19" s="792" t="s">
        <v>994</v>
      </c>
      <c r="E19" s="793"/>
      <c r="F19" s="793"/>
      <c r="G19" s="794"/>
      <c r="H19" s="792" t="s">
        <v>995</v>
      </c>
      <c r="I19" s="793"/>
      <c r="J19" s="793"/>
      <c r="K19" s="794"/>
      <c r="L19" s="792" t="s">
        <v>47</v>
      </c>
      <c r="M19" s="793"/>
      <c r="N19" s="793"/>
      <c r="O19" s="794"/>
    </row>
    <row r="20" spans="2:15" s="416" customFormat="1" ht="15" customHeight="1">
      <c r="B20" s="420" t="s">
        <v>250</v>
      </c>
      <c r="C20" s="421" t="s">
        <v>251</v>
      </c>
      <c r="D20" s="798">
        <f>'B.1.Vehículos'!R67</f>
        <v>213535.46875</v>
      </c>
      <c r="E20" s="799"/>
      <c r="F20" s="799"/>
      <c r="G20" s="800"/>
      <c r="H20" s="798">
        <f>'B.1.Vehículos'!T68</f>
        <v>55063.424008313144</v>
      </c>
      <c r="I20" s="799"/>
      <c r="J20" s="799"/>
      <c r="K20" s="800"/>
      <c r="L20" s="801">
        <f>D20+H20</f>
        <v>268598.89275831316</v>
      </c>
      <c r="M20" s="801"/>
      <c r="N20" s="801"/>
      <c r="O20" s="801"/>
    </row>
    <row r="21" spans="2:15" s="416" customFormat="1" ht="15" customHeight="1">
      <c r="B21" s="420" t="s">
        <v>252</v>
      </c>
      <c r="C21" s="421" t="s">
        <v>253</v>
      </c>
      <c r="D21" s="798">
        <f>'B.2.Maquinaria'!R103</f>
        <v>84085.756176757815</v>
      </c>
      <c r="E21" s="799"/>
      <c r="F21" s="799"/>
      <c r="G21" s="800"/>
      <c r="H21" s="798">
        <f>'B.2.Maquinaria'!T104</f>
        <v>11649.847022370674</v>
      </c>
      <c r="I21" s="799"/>
      <c r="J21" s="799"/>
      <c r="K21" s="800"/>
      <c r="L21" s="801">
        <f>D21+H21</f>
        <v>95735.603199128484</v>
      </c>
      <c r="M21" s="801"/>
      <c r="N21" s="801"/>
      <c r="O21" s="801"/>
    </row>
    <row r="22" spans="2:15" s="416" customFormat="1" ht="15" customHeight="1">
      <c r="B22" s="802" t="s">
        <v>254</v>
      </c>
      <c r="C22" s="802"/>
      <c r="D22" s="803">
        <f>D20+D21</f>
        <v>297621.2249267578</v>
      </c>
      <c r="E22" s="803"/>
      <c r="F22" s="803"/>
      <c r="G22" s="803"/>
      <c r="H22" s="803">
        <f>H20+H21</f>
        <v>66713.271030683813</v>
      </c>
      <c r="I22" s="803"/>
      <c r="J22" s="803"/>
      <c r="K22" s="803"/>
      <c r="L22" s="803">
        <f>D22+H22</f>
        <v>364334.49595744163</v>
      </c>
      <c r="M22" s="803"/>
      <c r="N22" s="803"/>
      <c r="O22" s="803"/>
    </row>
    <row r="23" spans="2:15" s="416" customFormat="1" ht="15" customHeight="1">
      <c r="B23" s="422"/>
      <c r="C23" s="417"/>
      <c r="D23" s="417"/>
      <c r="E23" s="417"/>
      <c r="F23" s="417"/>
      <c r="G23" s="417"/>
      <c r="H23" s="417"/>
      <c r="I23" s="417"/>
      <c r="J23" s="417"/>
      <c r="K23" s="417"/>
      <c r="L23" s="417"/>
      <c r="M23" s="417"/>
      <c r="N23" s="417"/>
      <c r="O23" s="417"/>
    </row>
    <row r="24" spans="2:15" s="416" customFormat="1" ht="15" customHeight="1">
      <c r="B24" s="422"/>
      <c r="C24" s="417"/>
      <c r="D24" s="417"/>
      <c r="E24" s="417"/>
      <c r="F24" s="417"/>
      <c r="G24" s="417"/>
      <c r="H24" s="417"/>
      <c r="I24" s="417"/>
      <c r="J24" s="417"/>
      <c r="K24" s="417"/>
      <c r="L24" s="417"/>
      <c r="M24" s="417"/>
      <c r="N24" s="417"/>
      <c r="O24" s="417"/>
    </row>
    <row r="25" spans="2:15" s="416" customFormat="1" ht="15" customHeight="1">
      <c r="B25" s="422"/>
      <c r="C25" s="417"/>
      <c r="D25" s="417"/>
      <c r="E25" s="417"/>
      <c r="F25" s="417"/>
      <c r="G25" s="417"/>
      <c r="H25" s="417"/>
      <c r="I25" s="417"/>
      <c r="J25" s="417"/>
      <c r="K25" s="417"/>
      <c r="L25" s="417"/>
      <c r="M25" s="417"/>
      <c r="N25" s="417"/>
      <c r="O25" s="417"/>
    </row>
    <row r="26" spans="2:15" s="416" customFormat="1" ht="15" customHeight="1">
      <c r="B26" s="422"/>
      <c r="C26" s="417"/>
      <c r="D26" s="417"/>
      <c r="E26" s="417"/>
      <c r="F26" s="417"/>
      <c r="G26" s="417"/>
      <c r="H26" s="417"/>
      <c r="I26" s="417"/>
      <c r="J26" s="417"/>
      <c r="K26" s="417"/>
      <c r="L26" s="417"/>
      <c r="M26" s="417"/>
      <c r="N26" s="417"/>
      <c r="O26" s="417"/>
    </row>
    <row r="27" spans="2:15" s="416" customFormat="1" ht="15" customHeight="1">
      <c r="B27" s="422"/>
      <c r="C27" s="417"/>
      <c r="D27" s="417"/>
      <c r="E27" s="417"/>
      <c r="F27" s="417"/>
      <c r="G27" s="417"/>
      <c r="H27" s="417"/>
      <c r="I27" s="417"/>
      <c r="J27" s="417"/>
      <c r="K27" s="417"/>
      <c r="L27" s="417"/>
      <c r="M27" s="417"/>
      <c r="N27" s="417"/>
      <c r="O27" s="417"/>
    </row>
    <row r="28" spans="2:15" s="416" customFormat="1" ht="15" customHeight="1">
      <c r="B28" s="422"/>
      <c r="C28" s="417"/>
      <c r="D28" s="417"/>
      <c r="E28" s="417"/>
      <c r="F28" s="417"/>
      <c r="G28" s="417"/>
      <c r="H28" s="417"/>
      <c r="I28" s="417"/>
      <c r="J28" s="417"/>
      <c r="K28" s="417"/>
      <c r="L28" s="417"/>
      <c r="M28" s="417"/>
      <c r="N28" s="417"/>
      <c r="O28" s="417"/>
    </row>
    <row r="29" spans="2:15" s="416" customFormat="1" ht="15" customHeight="1">
      <c r="B29" s="422"/>
      <c r="C29" s="417"/>
      <c r="D29" s="417"/>
      <c r="E29" s="417"/>
      <c r="F29" s="417"/>
      <c r="G29" s="417"/>
      <c r="H29" s="417"/>
      <c r="I29" s="417"/>
      <c r="J29" s="417"/>
      <c r="K29" s="417"/>
      <c r="L29" s="417"/>
      <c r="M29" s="417"/>
      <c r="N29" s="417"/>
      <c r="O29" s="417"/>
    </row>
    <row r="30" spans="2:15" s="416" customFormat="1" ht="15" customHeight="1">
      <c r="B30" s="422"/>
      <c r="C30" s="417"/>
      <c r="D30" s="417"/>
      <c r="E30" s="417"/>
      <c r="F30" s="417"/>
      <c r="G30" s="417"/>
      <c r="H30" s="417"/>
      <c r="I30" s="417"/>
      <c r="J30" s="417"/>
      <c r="K30" s="417"/>
      <c r="L30" s="417"/>
      <c r="M30" s="417"/>
      <c r="N30" s="417"/>
      <c r="O30" s="417"/>
    </row>
    <row r="31" spans="2:15" s="416" customFormat="1" ht="15" customHeight="1">
      <c r="B31" s="422"/>
      <c r="C31" s="417"/>
      <c r="D31" s="417"/>
      <c r="E31" s="417"/>
      <c r="F31" s="417"/>
      <c r="G31" s="417"/>
      <c r="H31" s="417"/>
      <c r="I31" s="417"/>
      <c r="J31" s="417"/>
      <c r="K31" s="417"/>
      <c r="L31" s="417"/>
      <c r="M31" s="417"/>
      <c r="N31" s="417"/>
      <c r="O31" s="417"/>
    </row>
    <row r="32" spans="2:15" s="416" customFormat="1" ht="15" customHeight="1">
      <c r="B32" s="422"/>
      <c r="C32" s="417"/>
      <c r="D32" s="417"/>
      <c r="E32" s="417"/>
      <c r="F32" s="417"/>
      <c r="G32" s="417"/>
      <c r="H32" s="417"/>
      <c r="I32" s="417"/>
      <c r="J32" s="417"/>
      <c r="K32" s="417"/>
      <c r="L32" s="417"/>
      <c r="M32" s="417"/>
      <c r="N32" s="417"/>
      <c r="O32" s="417"/>
    </row>
    <row r="33" spans="2:15" s="416" customFormat="1" ht="15" customHeight="1">
      <c r="B33" s="422"/>
      <c r="C33" s="417"/>
      <c r="D33" s="417"/>
      <c r="E33" s="417"/>
      <c r="F33" s="417"/>
      <c r="G33" s="417"/>
      <c r="H33" s="417"/>
      <c r="I33" s="417"/>
      <c r="J33" s="417"/>
      <c r="K33" s="417"/>
      <c r="L33" s="417"/>
      <c r="M33" s="417"/>
      <c r="N33" s="417"/>
      <c r="O33" s="417"/>
    </row>
    <row r="34" spans="2:15" s="416" customFormat="1" ht="15" customHeight="1">
      <c r="B34" s="422"/>
      <c r="C34" s="417"/>
      <c r="D34" s="417"/>
      <c r="E34" s="417"/>
      <c r="F34" s="417"/>
      <c r="G34" s="417"/>
      <c r="H34" s="417"/>
      <c r="I34" s="417"/>
      <c r="J34" s="417"/>
      <c r="K34" s="417"/>
      <c r="L34" s="417"/>
      <c r="M34" s="417"/>
      <c r="N34" s="417"/>
      <c r="O34" s="417"/>
    </row>
    <row r="35" spans="2:15" s="416" customFormat="1" ht="15" customHeight="1">
      <c r="B35" s="422"/>
      <c r="C35" s="417"/>
      <c r="D35" s="417"/>
      <c r="E35" s="417"/>
      <c r="F35" s="417"/>
      <c r="G35" s="417"/>
      <c r="H35" s="417"/>
      <c r="I35" s="417"/>
      <c r="J35" s="417"/>
      <c r="K35" s="417"/>
      <c r="L35" s="417"/>
      <c r="M35" s="417"/>
      <c r="N35" s="417"/>
      <c r="O35" s="417"/>
    </row>
    <row r="36" spans="2:15" s="416" customFormat="1" ht="15" customHeight="1">
      <c r="B36" s="422"/>
      <c r="C36" s="417"/>
      <c r="D36" s="417"/>
      <c r="E36" s="417"/>
      <c r="F36" s="417"/>
      <c r="G36" s="417"/>
      <c r="H36" s="417"/>
      <c r="I36" s="417"/>
      <c r="J36" s="417"/>
      <c r="K36" s="417"/>
      <c r="L36" s="417"/>
      <c r="M36" s="417"/>
      <c r="N36" s="417"/>
      <c r="O36" s="417"/>
    </row>
    <row r="37" spans="2:15" s="416" customFormat="1" ht="15" customHeight="1">
      <c r="B37" s="422"/>
      <c r="C37" s="417"/>
      <c r="D37" s="417"/>
      <c r="E37" s="417"/>
      <c r="F37" s="417"/>
      <c r="G37" s="417"/>
      <c r="H37" s="417"/>
      <c r="I37" s="417"/>
      <c r="J37" s="417"/>
      <c r="K37" s="417"/>
      <c r="L37" s="417"/>
      <c r="M37" s="417"/>
      <c r="N37" s="417"/>
      <c r="O37" s="417"/>
    </row>
    <row r="38" spans="2:15" s="416" customFormat="1" ht="15" customHeight="1">
      <c r="B38" s="422"/>
      <c r="C38" s="417"/>
      <c r="D38" s="417"/>
      <c r="E38" s="417"/>
      <c r="F38" s="417"/>
      <c r="G38" s="417"/>
      <c r="H38" s="417"/>
      <c r="I38" s="417"/>
      <c r="J38" s="417"/>
      <c r="K38" s="417"/>
      <c r="L38" s="417"/>
      <c r="M38" s="417"/>
      <c r="N38" s="417"/>
      <c r="O38" s="417"/>
    </row>
    <row r="39" spans="2:15" s="416" customFormat="1" ht="15" customHeight="1">
      <c r="B39" s="422"/>
      <c r="C39" s="417"/>
      <c r="D39" s="417"/>
      <c r="E39" s="417"/>
      <c r="F39" s="417"/>
      <c r="G39" s="417"/>
      <c r="H39" s="417"/>
      <c r="I39" s="417"/>
      <c r="J39" s="417"/>
      <c r="K39" s="417"/>
      <c r="L39" s="417"/>
      <c r="M39" s="417"/>
      <c r="N39" s="417"/>
      <c r="O39" s="417"/>
    </row>
    <row r="40" spans="2:15" s="416" customFormat="1" ht="15" customHeight="1">
      <c r="B40" s="422"/>
      <c r="C40" s="417"/>
      <c r="D40" s="417"/>
      <c r="E40" s="417"/>
      <c r="F40" s="417"/>
      <c r="G40" s="417"/>
      <c r="H40" s="417"/>
      <c r="I40" s="417"/>
      <c r="J40" s="417"/>
      <c r="K40" s="417"/>
      <c r="L40" s="417"/>
      <c r="M40" s="417"/>
      <c r="N40" s="417"/>
      <c r="O40" s="417"/>
    </row>
    <row r="41" spans="2:15" s="416" customFormat="1" ht="15" customHeight="1">
      <c r="B41" s="422"/>
      <c r="C41" s="417"/>
      <c r="D41" s="417"/>
      <c r="E41" s="417"/>
      <c r="F41" s="417"/>
      <c r="G41" s="417"/>
      <c r="H41" s="417"/>
      <c r="I41" s="417"/>
      <c r="J41" s="417"/>
      <c r="K41" s="417"/>
      <c r="L41" s="417"/>
      <c r="M41" s="417"/>
      <c r="N41" s="417"/>
      <c r="O41" s="417"/>
    </row>
    <row r="42" spans="2:15" s="416" customFormat="1" ht="15" customHeight="1">
      <c r="B42" s="422"/>
      <c r="C42" s="417"/>
      <c r="D42" s="417"/>
      <c r="E42" s="417"/>
      <c r="F42" s="417"/>
      <c r="G42" s="417"/>
      <c r="H42" s="417"/>
      <c r="I42" s="417"/>
      <c r="J42" s="417"/>
      <c r="K42" s="417"/>
      <c r="L42" s="417"/>
      <c r="M42" s="417"/>
      <c r="N42" s="417"/>
      <c r="O42" s="417"/>
    </row>
    <row r="43" spans="2:15" s="416" customFormat="1" ht="15" customHeight="1">
      <c r="B43" s="422"/>
      <c r="C43" s="417"/>
      <c r="D43" s="417"/>
      <c r="E43" s="417"/>
      <c r="F43" s="417"/>
      <c r="G43" s="417"/>
      <c r="H43" s="417"/>
      <c r="I43" s="417"/>
      <c r="J43" s="417"/>
      <c r="K43" s="417"/>
      <c r="L43" s="417"/>
      <c r="M43" s="417"/>
      <c r="N43" s="417"/>
      <c r="O43" s="417"/>
    </row>
    <row r="44" spans="2:15" s="416" customFormat="1" ht="15" customHeight="1">
      <c r="B44" s="422"/>
      <c r="C44" s="417"/>
      <c r="D44" s="417"/>
      <c r="E44" s="417"/>
      <c r="F44" s="417"/>
      <c r="G44" s="417"/>
      <c r="H44" s="417"/>
      <c r="I44" s="417"/>
      <c r="J44" s="417"/>
      <c r="K44" s="417"/>
      <c r="L44" s="417"/>
      <c r="M44" s="417"/>
      <c r="N44" s="417"/>
      <c r="O44" s="417"/>
    </row>
    <row r="45" spans="2:15" s="416" customFormat="1" ht="15" customHeight="1">
      <c r="B45" s="422"/>
      <c r="C45" s="417"/>
      <c r="D45" s="417"/>
      <c r="E45" s="417"/>
      <c r="F45" s="417"/>
      <c r="G45" s="417"/>
      <c r="H45" s="417"/>
      <c r="I45" s="417"/>
      <c r="J45" s="417"/>
      <c r="K45" s="417"/>
      <c r="L45" s="417"/>
      <c r="M45" s="417"/>
      <c r="N45" s="417"/>
      <c r="O45" s="417"/>
    </row>
    <row r="46" spans="2:15" s="416" customFormat="1" ht="15" customHeight="1">
      <c r="B46" s="422"/>
      <c r="C46" s="417"/>
      <c r="D46" s="417"/>
      <c r="E46" s="417"/>
      <c r="F46" s="417"/>
      <c r="G46" s="417"/>
      <c r="H46" s="417"/>
      <c r="I46" s="417"/>
      <c r="J46" s="417"/>
      <c r="K46" s="417"/>
      <c r="L46" s="417"/>
      <c r="M46" s="417"/>
      <c r="N46" s="417"/>
      <c r="O46" s="417"/>
    </row>
    <row r="47" spans="2:15" s="416" customFormat="1" ht="15" customHeight="1">
      <c r="B47" s="422"/>
      <c r="C47" s="417"/>
      <c r="D47" s="417"/>
      <c r="E47" s="417"/>
      <c r="F47" s="417"/>
      <c r="G47" s="417"/>
      <c r="H47" s="417"/>
      <c r="I47" s="417"/>
      <c r="J47" s="417"/>
      <c r="K47" s="417"/>
      <c r="L47" s="417"/>
      <c r="M47" s="417"/>
      <c r="N47" s="417"/>
      <c r="O47" s="417"/>
    </row>
    <row r="48" spans="2:15" s="416" customFormat="1" ht="15" customHeight="1">
      <c r="B48" s="422"/>
      <c r="C48" s="417"/>
      <c r="D48" s="417"/>
      <c r="E48" s="417"/>
      <c r="F48" s="417"/>
      <c r="G48" s="417"/>
      <c r="H48" s="417"/>
      <c r="I48" s="417"/>
      <c r="J48" s="417"/>
      <c r="K48" s="417"/>
      <c r="L48" s="417"/>
      <c r="M48" s="417"/>
      <c r="N48" s="417"/>
      <c r="O48" s="417"/>
    </row>
    <row r="49" spans="2:15" s="416" customFormat="1" ht="15" customHeight="1">
      <c r="B49" s="422"/>
      <c r="C49" s="417"/>
      <c r="D49" s="417"/>
      <c r="E49" s="417"/>
      <c r="F49" s="417"/>
      <c r="G49" s="417"/>
      <c r="H49" s="417"/>
      <c r="I49" s="417"/>
      <c r="J49" s="417"/>
      <c r="K49" s="417"/>
      <c r="L49" s="417"/>
      <c r="M49" s="417"/>
      <c r="N49" s="417"/>
      <c r="O49" s="417"/>
    </row>
    <row r="50" spans="2:15" s="416" customFormat="1" ht="15" customHeight="1">
      <c r="B50" s="422"/>
      <c r="C50" s="417"/>
      <c r="D50" s="417"/>
      <c r="E50" s="417"/>
      <c r="F50" s="417"/>
      <c r="G50" s="417"/>
      <c r="H50" s="417"/>
      <c r="I50" s="417"/>
      <c r="J50" s="417"/>
      <c r="K50" s="417"/>
      <c r="L50" s="417"/>
      <c r="M50" s="417"/>
      <c r="N50" s="417"/>
      <c r="O50" s="417"/>
    </row>
    <row r="51" spans="2:15" s="416" customFormat="1" ht="15" customHeight="1">
      <c r="B51" s="422"/>
      <c r="C51" s="417"/>
      <c r="D51" s="417"/>
      <c r="E51" s="417"/>
      <c r="F51" s="417"/>
      <c r="G51" s="417"/>
      <c r="H51" s="417"/>
      <c r="I51" s="417"/>
      <c r="J51" s="417"/>
      <c r="K51" s="417"/>
      <c r="L51" s="417"/>
      <c r="M51" s="417"/>
      <c r="N51" s="417"/>
      <c r="O51" s="417"/>
    </row>
    <row r="52" spans="2:15" s="416" customFormat="1" ht="15" customHeight="1">
      <c r="B52" s="422"/>
      <c r="C52" s="417"/>
      <c r="D52" s="417"/>
      <c r="E52" s="417"/>
      <c r="F52" s="417"/>
      <c r="G52" s="417"/>
      <c r="H52" s="417"/>
      <c r="I52" s="417"/>
      <c r="J52" s="417"/>
      <c r="K52" s="417"/>
      <c r="L52" s="417"/>
      <c r="M52" s="417"/>
      <c r="N52" s="417"/>
      <c r="O52" s="417"/>
    </row>
    <row r="53" spans="2:15" s="416" customFormat="1" ht="15" customHeight="1">
      <c r="B53" s="422"/>
      <c r="C53" s="417"/>
      <c r="D53" s="417"/>
      <c r="E53" s="417"/>
      <c r="F53" s="417"/>
      <c r="G53" s="417"/>
      <c r="H53" s="417"/>
      <c r="I53" s="417"/>
      <c r="J53" s="417"/>
      <c r="K53" s="417"/>
      <c r="L53" s="417"/>
      <c r="M53" s="417"/>
      <c r="N53" s="417"/>
      <c r="O53" s="417"/>
    </row>
    <row r="54" spans="2:15" s="416" customFormat="1" ht="15" customHeight="1">
      <c r="B54" s="422"/>
      <c r="C54" s="417"/>
      <c r="D54" s="417"/>
      <c r="E54" s="417"/>
      <c r="F54" s="417"/>
      <c r="G54" s="417"/>
      <c r="H54" s="417"/>
      <c r="I54" s="417"/>
      <c r="J54" s="417"/>
      <c r="K54" s="417"/>
      <c r="L54" s="417"/>
      <c r="M54" s="417"/>
      <c r="N54" s="417"/>
      <c r="O54" s="417"/>
    </row>
    <row r="55" spans="2:15" s="416" customFormat="1" ht="15" customHeight="1">
      <c r="B55" s="422"/>
      <c r="C55" s="417"/>
      <c r="D55" s="417"/>
      <c r="E55" s="417"/>
      <c r="F55" s="417"/>
      <c r="G55" s="417"/>
      <c r="H55" s="417"/>
      <c r="I55" s="417"/>
      <c r="J55" s="417"/>
      <c r="K55" s="417"/>
      <c r="L55" s="417"/>
      <c r="M55" s="417"/>
      <c r="N55" s="417"/>
      <c r="O55" s="417"/>
    </row>
    <row r="56" spans="2:15" s="416" customFormat="1" ht="15" customHeight="1">
      <c r="B56" s="422"/>
      <c r="C56" s="417"/>
      <c r="D56" s="417"/>
      <c r="E56" s="417"/>
      <c r="F56" s="417"/>
      <c r="G56" s="417"/>
      <c r="H56" s="417"/>
      <c r="I56" s="417"/>
      <c r="J56" s="417"/>
      <c r="K56" s="417"/>
      <c r="L56" s="417"/>
      <c r="M56" s="417"/>
      <c r="N56" s="417"/>
      <c r="O56" s="417"/>
    </row>
    <row r="57" spans="2:15" s="416" customFormat="1" ht="15" customHeight="1">
      <c r="B57" s="422"/>
      <c r="C57" s="417"/>
      <c r="D57" s="417"/>
      <c r="E57" s="417"/>
      <c r="F57" s="417"/>
      <c r="G57" s="417"/>
      <c r="H57" s="417"/>
      <c r="I57" s="417"/>
      <c r="J57" s="417"/>
      <c r="K57" s="417"/>
      <c r="L57" s="417"/>
      <c r="M57" s="417"/>
      <c r="N57" s="417"/>
      <c r="O57" s="417"/>
    </row>
    <row r="58" spans="2:15" s="416" customFormat="1" ht="15" customHeight="1">
      <c r="B58" s="422"/>
      <c r="C58" s="417"/>
      <c r="D58" s="417"/>
      <c r="E58" s="417"/>
      <c r="F58" s="417"/>
      <c r="G58" s="417"/>
      <c r="H58" s="417"/>
      <c r="I58" s="417"/>
      <c r="J58" s="417"/>
      <c r="K58" s="417"/>
      <c r="L58" s="417"/>
      <c r="M58" s="417"/>
      <c r="N58" s="417"/>
      <c r="O58" s="417"/>
    </row>
    <row r="59" spans="2:15" s="416" customFormat="1" ht="15" customHeight="1">
      <c r="B59" s="422"/>
      <c r="C59" s="417"/>
      <c r="D59" s="417"/>
      <c r="E59" s="417"/>
      <c r="F59" s="417"/>
      <c r="G59" s="417"/>
      <c r="H59" s="417"/>
      <c r="I59" s="417"/>
      <c r="J59" s="417"/>
      <c r="K59" s="417"/>
      <c r="L59" s="417"/>
      <c r="M59" s="417"/>
      <c r="N59" s="417"/>
      <c r="O59" s="417"/>
    </row>
    <row r="60" spans="2:15" s="416" customFormat="1" ht="15" customHeight="1">
      <c r="B60" s="422"/>
      <c r="C60" s="417"/>
      <c r="D60" s="417"/>
      <c r="E60" s="417"/>
      <c r="F60" s="417"/>
      <c r="G60" s="417"/>
      <c r="H60" s="417"/>
      <c r="I60" s="417"/>
      <c r="J60" s="417"/>
      <c r="K60" s="417"/>
      <c r="L60" s="417"/>
      <c r="M60" s="417"/>
      <c r="N60" s="417"/>
      <c r="O60" s="417"/>
    </row>
    <row r="61" spans="2:15" s="416" customFormat="1" ht="15" customHeight="1">
      <c r="B61" s="422"/>
      <c r="C61" s="417"/>
      <c r="D61" s="417"/>
      <c r="E61" s="417"/>
      <c r="F61" s="417"/>
      <c r="G61" s="417"/>
      <c r="H61" s="417"/>
      <c r="I61" s="417"/>
      <c r="J61" s="417"/>
      <c r="K61" s="417"/>
      <c r="L61" s="417"/>
      <c r="M61" s="417"/>
      <c r="N61" s="417"/>
      <c r="O61" s="417"/>
    </row>
    <row r="62" spans="2:15" s="416" customFormat="1" ht="15" customHeight="1">
      <c r="B62" s="422"/>
      <c r="C62" s="417"/>
      <c r="D62" s="417"/>
      <c r="E62" s="417"/>
      <c r="F62" s="417"/>
      <c r="G62" s="417"/>
      <c r="H62" s="417"/>
      <c r="I62" s="417"/>
      <c r="J62" s="417"/>
      <c r="K62" s="417"/>
      <c r="L62" s="417"/>
      <c r="M62" s="417"/>
      <c r="N62" s="417"/>
      <c r="O62" s="417"/>
    </row>
    <row r="63" spans="2:15" s="416" customFormat="1" ht="15" customHeight="1">
      <c r="B63" s="422"/>
      <c r="C63" s="417"/>
      <c r="D63" s="417"/>
      <c r="E63" s="417"/>
      <c r="F63" s="417"/>
      <c r="G63" s="417"/>
      <c r="H63" s="417"/>
      <c r="I63" s="417"/>
      <c r="J63" s="417"/>
      <c r="K63" s="417"/>
      <c r="L63" s="417"/>
      <c r="M63" s="417"/>
      <c r="N63" s="417"/>
      <c r="O63" s="417"/>
    </row>
    <row r="64" spans="2:15" s="416" customFormat="1" ht="15" customHeight="1">
      <c r="B64" s="422"/>
      <c r="C64" s="417"/>
      <c r="D64" s="417"/>
      <c r="E64" s="417"/>
      <c r="F64" s="417"/>
      <c r="G64" s="417"/>
      <c r="H64" s="417"/>
      <c r="I64" s="417"/>
      <c r="J64" s="417"/>
      <c r="K64" s="417"/>
      <c r="L64" s="417"/>
      <c r="M64" s="417"/>
      <c r="N64" s="417"/>
      <c r="O64" s="417"/>
    </row>
    <row r="65" spans="2:15" s="416" customFormat="1" ht="15" customHeight="1">
      <c r="B65" s="422"/>
      <c r="C65" s="417"/>
      <c r="D65" s="417"/>
      <c r="E65" s="417"/>
      <c r="F65" s="417"/>
      <c r="G65" s="417"/>
      <c r="H65" s="417"/>
      <c r="I65" s="417"/>
      <c r="J65" s="417"/>
      <c r="K65" s="417"/>
      <c r="L65" s="417"/>
      <c r="M65" s="417"/>
      <c r="N65" s="417"/>
      <c r="O65" s="417"/>
    </row>
    <row r="66" spans="2:15" s="416" customFormat="1" ht="15" customHeight="1">
      <c r="B66" s="422"/>
      <c r="C66" s="417"/>
      <c r="D66" s="417"/>
      <c r="E66" s="417"/>
      <c r="F66" s="417"/>
      <c r="G66" s="417"/>
      <c r="H66" s="417"/>
      <c r="I66" s="417"/>
      <c r="J66" s="417"/>
      <c r="K66" s="417"/>
      <c r="L66" s="417"/>
      <c r="M66" s="417"/>
      <c r="N66" s="417"/>
      <c r="O66" s="417"/>
    </row>
    <row r="67" spans="2:15" s="416" customFormat="1" ht="15" customHeight="1">
      <c r="B67" s="422"/>
      <c r="C67" s="417"/>
      <c r="D67" s="417"/>
      <c r="E67" s="417"/>
      <c r="F67" s="417"/>
      <c r="G67" s="417"/>
      <c r="H67" s="417"/>
      <c r="I67" s="417"/>
      <c r="J67" s="417"/>
      <c r="K67" s="417"/>
      <c r="L67" s="417"/>
      <c r="M67" s="417"/>
      <c r="N67" s="417"/>
      <c r="O67" s="417"/>
    </row>
    <row r="68" spans="2:15" s="416" customFormat="1" ht="15" customHeight="1">
      <c r="B68" s="422"/>
      <c r="C68" s="417"/>
      <c r="D68" s="417"/>
      <c r="E68" s="417"/>
      <c r="F68" s="417"/>
      <c r="G68" s="417"/>
      <c r="H68" s="417"/>
      <c r="I68" s="417"/>
      <c r="J68" s="417"/>
      <c r="K68" s="417"/>
      <c r="L68" s="417"/>
      <c r="M68" s="417"/>
      <c r="N68" s="417"/>
      <c r="O68" s="417"/>
    </row>
    <row r="69" spans="2:15" s="416" customFormat="1" ht="15" customHeight="1">
      <c r="B69" s="422"/>
      <c r="C69" s="417"/>
      <c r="D69" s="417"/>
      <c r="E69" s="417"/>
      <c r="F69" s="417"/>
      <c r="G69" s="417"/>
      <c r="H69" s="417"/>
      <c r="I69" s="417"/>
      <c r="J69" s="417"/>
      <c r="K69" s="417"/>
      <c r="L69" s="417"/>
      <c r="M69" s="417"/>
      <c r="N69" s="417"/>
      <c r="O69" s="417"/>
    </row>
    <row r="70" spans="2:15" s="416" customFormat="1" ht="15" customHeight="1">
      <c r="B70" s="422"/>
      <c r="C70" s="417"/>
      <c r="D70" s="417"/>
      <c r="E70" s="417"/>
      <c r="F70" s="417"/>
      <c r="G70" s="417"/>
      <c r="H70" s="417"/>
      <c r="I70" s="417"/>
      <c r="J70" s="417"/>
      <c r="K70" s="417"/>
      <c r="L70" s="417"/>
      <c r="M70" s="417"/>
      <c r="N70" s="417"/>
      <c r="O70" s="417"/>
    </row>
    <row r="71" spans="2:15" s="416" customFormat="1" ht="15" customHeight="1">
      <c r="B71" s="422"/>
      <c r="C71" s="417"/>
      <c r="D71" s="417"/>
      <c r="E71" s="417"/>
      <c r="F71" s="417"/>
      <c r="G71" s="417"/>
      <c r="H71" s="417"/>
      <c r="I71" s="417"/>
      <c r="J71" s="417"/>
      <c r="K71" s="417"/>
      <c r="L71" s="417"/>
      <c r="M71" s="417"/>
      <c r="N71" s="417"/>
      <c r="O71" s="417"/>
    </row>
    <row r="72" spans="2:15" s="416" customFormat="1" ht="15" customHeight="1">
      <c r="B72" s="422"/>
      <c r="C72" s="417"/>
      <c r="D72" s="417"/>
      <c r="E72" s="417"/>
      <c r="F72" s="417"/>
      <c r="G72" s="417"/>
      <c r="H72" s="417"/>
      <c r="I72" s="417"/>
      <c r="J72" s="417"/>
      <c r="K72" s="417"/>
      <c r="L72" s="417"/>
      <c r="M72" s="417"/>
      <c r="N72" s="417"/>
      <c r="O72" s="417"/>
    </row>
    <row r="73" spans="2:15" s="416" customFormat="1" ht="15" customHeight="1">
      <c r="B73" s="422"/>
      <c r="C73" s="417"/>
      <c r="D73" s="417"/>
      <c r="E73" s="417"/>
      <c r="F73" s="417"/>
      <c r="G73" s="417"/>
      <c r="H73" s="417"/>
      <c r="I73" s="417"/>
      <c r="J73" s="417"/>
      <c r="K73" s="417"/>
      <c r="L73" s="417"/>
      <c r="M73" s="417"/>
      <c r="N73" s="417"/>
      <c r="O73" s="417"/>
    </row>
    <row r="74" spans="2:15" s="416" customFormat="1" ht="15" customHeight="1">
      <c r="B74" s="422"/>
      <c r="C74" s="417"/>
      <c r="D74" s="417"/>
      <c r="E74" s="417"/>
      <c r="F74" s="417"/>
      <c r="G74" s="417"/>
      <c r="H74" s="417"/>
      <c r="I74" s="417"/>
      <c r="J74" s="417"/>
      <c r="K74" s="417"/>
      <c r="L74" s="417"/>
      <c r="M74" s="417"/>
      <c r="N74" s="417"/>
      <c r="O74" s="417"/>
    </row>
    <row r="75" spans="2:15" s="416" customFormat="1" ht="15" customHeight="1">
      <c r="B75" s="422"/>
      <c r="C75" s="417"/>
      <c r="D75" s="417"/>
      <c r="E75" s="417"/>
      <c r="F75" s="417"/>
      <c r="G75" s="417"/>
      <c r="H75" s="417"/>
      <c r="I75" s="417"/>
      <c r="J75" s="417"/>
      <c r="K75" s="417"/>
      <c r="L75" s="417"/>
      <c r="M75" s="417"/>
      <c r="N75" s="417"/>
      <c r="O75" s="417"/>
    </row>
    <row r="76" spans="2:15" s="416" customFormat="1" ht="15" customHeight="1">
      <c r="B76" s="422"/>
      <c r="C76" s="417"/>
      <c r="D76" s="417"/>
      <c r="E76" s="417"/>
      <c r="F76" s="417"/>
      <c r="G76" s="417"/>
      <c r="H76" s="417"/>
      <c r="I76" s="417"/>
      <c r="J76" s="417"/>
      <c r="K76" s="417"/>
      <c r="L76" s="417"/>
      <c r="M76" s="417"/>
      <c r="N76" s="417"/>
      <c r="O76" s="417"/>
    </row>
    <row r="77" spans="2:15" s="416" customFormat="1" ht="15" customHeight="1">
      <c r="B77" s="422"/>
      <c r="C77" s="417"/>
      <c r="D77" s="417"/>
      <c r="E77" s="417"/>
      <c r="F77" s="417"/>
      <c r="G77" s="417"/>
      <c r="H77" s="417"/>
      <c r="I77" s="417"/>
      <c r="J77" s="417"/>
      <c r="K77" s="417"/>
      <c r="L77" s="417"/>
      <c r="M77" s="417"/>
      <c r="N77" s="417"/>
      <c r="O77" s="417"/>
    </row>
    <row r="78" spans="2:15" s="416" customFormat="1" ht="15" customHeight="1">
      <c r="B78" s="422"/>
      <c r="C78" s="417"/>
      <c r="D78" s="417"/>
      <c r="E78" s="417"/>
      <c r="F78" s="417"/>
      <c r="G78" s="417"/>
      <c r="H78" s="417"/>
      <c r="I78" s="417"/>
      <c r="J78" s="417"/>
      <c r="K78" s="417"/>
      <c r="L78" s="417"/>
      <c r="M78" s="417"/>
      <c r="N78" s="417"/>
      <c r="O78" s="417"/>
    </row>
    <row r="79" spans="2:15" s="416" customFormat="1" ht="15" customHeight="1">
      <c r="B79" s="422"/>
      <c r="C79" s="417"/>
      <c r="D79" s="417"/>
      <c r="E79" s="417"/>
      <c r="F79" s="417"/>
      <c r="G79" s="417"/>
      <c r="H79" s="417"/>
      <c r="I79" s="417"/>
      <c r="J79" s="417"/>
      <c r="K79" s="417"/>
      <c r="L79" s="417"/>
      <c r="M79" s="417"/>
      <c r="N79" s="417"/>
      <c r="O79" s="417"/>
    </row>
    <row r="80" spans="2:15" s="416" customFormat="1" ht="15" customHeight="1">
      <c r="B80" s="422"/>
      <c r="C80" s="417"/>
      <c r="D80" s="417"/>
      <c r="E80" s="417"/>
      <c r="F80" s="417"/>
      <c r="G80" s="417"/>
      <c r="H80" s="417"/>
      <c r="I80" s="417"/>
      <c r="J80" s="417"/>
      <c r="K80" s="417"/>
      <c r="L80" s="417"/>
      <c r="M80" s="417"/>
      <c r="N80" s="417"/>
      <c r="O80" s="417"/>
    </row>
    <row r="81" spans="2:15" s="416" customFormat="1" ht="15" customHeight="1">
      <c r="B81" s="422"/>
      <c r="C81" s="417"/>
      <c r="D81" s="417"/>
      <c r="E81" s="417"/>
      <c r="F81" s="417"/>
      <c r="G81" s="417"/>
      <c r="H81" s="417"/>
      <c r="I81" s="417"/>
      <c r="J81" s="417"/>
      <c r="K81" s="417"/>
      <c r="L81" s="417"/>
      <c r="M81" s="417"/>
      <c r="N81" s="417"/>
      <c r="O81" s="417"/>
    </row>
    <row r="82" spans="2:15" s="416" customFormat="1" ht="15" customHeight="1">
      <c r="B82" s="422"/>
      <c r="C82" s="417"/>
      <c r="D82" s="417"/>
      <c r="E82" s="417"/>
      <c r="F82" s="417"/>
      <c r="G82" s="417"/>
      <c r="H82" s="417"/>
      <c r="I82" s="417"/>
      <c r="J82" s="417"/>
      <c r="K82" s="417"/>
      <c r="L82" s="417"/>
      <c r="M82" s="417"/>
      <c r="N82" s="417"/>
      <c r="O82" s="417"/>
    </row>
    <row r="83" spans="2:15" s="416" customFormat="1" ht="15" customHeight="1">
      <c r="B83" s="422"/>
      <c r="C83" s="417"/>
      <c r="D83" s="417"/>
      <c r="E83" s="417"/>
      <c r="F83" s="417"/>
      <c r="G83" s="417"/>
      <c r="H83" s="417"/>
      <c r="I83" s="417"/>
      <c r="J83" s="417"/>
      <c r="K83" s="417"/>
      <c r="L83" s="417"/>
      <c r="M83" s="417"/>
      <c r="N83" s="417"/>
      <c r="O83" s="417"/>
    </row>
    <row r="84" spans="2:15" s="416" customFormat="1" ht="15" customHeight="1">
      <c r="B84" s="422"/>
      <c r="C84" s="417"/>
      <c r="D84" s="417"/>
      <c r="E84" s="417"/>
      <c r="F84" s="417"/>
      <c r="G84" s="417"/>
      <c r="H84" s="417"/>
      <c r="I84" s="417"/>
      <c r="J84" s="417"/>
      <c r="K84" s="417"/>
      <c r="L84" s="417"/>
      <c r="M84" s="417"/>
      <c r="N84" s="417"/>
      <c r="O84" s="417"/>
    </row>
    <row r="85" spans="2:15" s="416" customFormat="1" ht="15" customHeight="1">
      <c r="B85" s="422"/>
      <c r="C85" s="417"/>
      <c r="D85" s="417"/>
      <c r="E85" s="417"/>
      <c r="F85" s="417"/>
      <c r="G85" s="417"/>
      <c r="H85" s="417"/>
      <c r="I85" s="417"/>
      <c r="J85" s="417"/>
      <c r="K85" s="417"/>
      <c r="L85" s="417"/>
      <c r="M85" s="417"/>
      <c r="N85" s="417"/>
      <c r="O85" s="417"/>
    </row>
    <row r="86" spans="2:15" s="416" customFormat="1" ht="15" customHeight="1">
      <c r="B86" s="422"/>
      <c r="C86" s="417"/>
      <c r="D86" s="417"/>
      <c r="E86" s="417"/>
      <c r="F86" s="417"/>
      <c r="G86" s="417"/>
      <c r="H86" s="417"/>
      <c r="I86" s="417"/>
      <c r="J86" s="417"/>
      <c r="K86" s="417"/>
      <c r="L86" s="417"/>
      <c r="M86" s="417"/>
      <c r="N86" s="417"/>
      <c r="O86" s="417"/>
    </row>
    <row r="87" spans="2:15" s="416" customFormat="1" ht="15" customHeight="1">
      <c r="B87" s="422"/>
      <c r="C87" s="417"/>
      <c r="D87" s="417"/>
      <c r="E87" s="417"/>
      <c r="F87" s="417"/>
      <c r="G87" s="417"/>
      <c r="H87" s="417"/>
      <c r="I87" s="417"/>
      <c r="J87" s="417"/>
      <c r="K87" s="417"/>
      <c r="L87" s="417"/>
      <c r="M87" s="417"/>
      <c r="N87" s="417"/>
      <c r="O87" s="417"/>
    </row>
    <row r="88" spans="2:15" s="416" customFormat="1" ht="15" customHeight="1">
      <c r="B88" s="422"/>
      <c r="C88" s="417"/>
      <c r="D88" s="417"/>
      <c r="E88" s="417"/>
      <c r="F88" s="417"/>
      <c r="G88" s="417"/>
      <c r="H88" s="417"/>
      <c r="I88" s="417"/>
      <c r="J88" s="417"/>
      <c r="K88" s="417"/>
      <c r="L88" s="417"/>
      <c r="M88" s="417"/>
      <c r="N88" s="417"/>
      <c r="O88" s="417"/>
    </row>
    <row r="89" spans="2:15" s="416" customFormat="1" ht="15" customHeight="1">
      <c r="B89" s="422"/>
      <c r="C89" s="417"/>
      <c r="D89" s="417"/>
      <c r="E89" s="417"/>
      <c r="F89" s="417"/>
      <c r="G89" s="417"/>
      <c r="H89" s="417"/>
      <c r="I89" s="417"/>
      <c r="J89" s="417"/>
      <c r="K89" s="417"/>
      <c r="L89" s="417"/>
      <c r="M89" s="417"/>
      <c r="N89" s="417"/>
      <c r="O89" s="417"/>
    </row>
    <row r="90" spans="2:15" s="416" customFormat="1" ht="15" customHeight="1">
      <c r="B90" s="422"/>
      <c r="C90" s="417"/>
      <c r="D90" s="417"/>
      <c r="E90" s="417"/>
      <c r="F90" s="417"/>
      <c r="G90" s="417"/>
      <c r="H90" s="417"/>
      <c r="I90" s="417"/>
      <c r="J90" s="417"/>
      <c r="K90" s="417"/>
      <c r="L90" s="417"/>
      <c r="M90" s="417"/>
      <c r="N90" s="417"/>
      <c r="O90" s="417"/>
    </row>
    <row r="91" spans="2:15" s="416" customFormat="1" ht="15" customHeight="1">
      <c r="B91" s="422"/>
      <c r="C91" s="417"/>
      <c r="D91" s="417"/>
      <c r="E91" s="417"/>
      <c r="F91" s="417"/>
      <c r="G91" s="417"/>
      <c r="H91" s="417"/>
      <c r="I91" s="417"/>
      <c r="J91" s="417"/>
      <c r="K91" s="417"/>
      <c r="L91" s="417"/>
      <c r="M91" s="417"/>
      <c r="N91" s="417"/>
      <c r="O91" s="417"/>
    </row>
    <row r="92" spans="2:15" s="416" customFormat="1" ht="15" customHeight="1">
      <c r="B92" s="422"/>
      <c r="C92" s="417"/>
      <c r="D92" s="417"/>
      <c r="E92" s="417"/>
      <c r="F92" s="417"/>
      <c r="G92" s="417"/>
      <c r="H92" s="417"/>
      <c r="I92" s="417"/>
      <c r="J92" s="417"/>
      <c r="K92" s="417"/>
      <c r="L92" s="417"/>
      <c r="M92" s="417"/>
      <c r="N92" s="417"/>
      <c r="O92" s="417"/>
    </row>
    <row r="93" spans="2:15" s="416" customFormat="1" ht="15" customHeight="1">
      <c r="B93" s="422"/>
      <c r="C93" s="417"/>
      <c r="D93" s="417"/>
      <c r="E93" s="417"/>
      <c r="F93" s="417"/>
      <c r="G93" s="417"/>
      <c r="H93" s="417"/>
      <c r="I93" s="417"/>
      <c r="J93" s="417"/>
      <c r="K93" s="417"/>
      <c r="L93" s="417"/>
      <c r="M93" s="417"/>
      <c r="N93" s="417"/>
      <c r="O93" s="417"/>
    </row>
    <row r="94" spans="2:15" s="416" customFormat="1" ht="15" customHeight="1">
      <c r="B94" s="422"/>
      <c r="C94" s="417"/>
      <c r="D94" s="417"/>
      <c r="E94" s="417"/>
      <c r="F94" s="417"/>
      <c r="G94" s="417"/>
      <c r="H94" s="417"/>
      <c r="I94" s="417"/>
      <c r="J94" s="417"/>
      <c r="K94" s="417"/>
      <c r="L94" s="417"/>
      <c r="M94" s="417"/>
      <c r="N94" s="417"/>
      <c r="O94" s="417"/>
    </row>
    <row r="95" spans="2:15" s="416" customFormat="1" ht="15" customHeight="1">
      <c r="B95" s="422"/>
      <c r="C95" s="417"/>
      <c r="D95" s="417"/>
      <c r="E95" s="417"/>
      <c r="F95" s="417"/>
      <c r="G95" s="417"/>
      <c r="H95" s="417"/>
      <c r="I95" s="417"/>
      <c r="J95" s="417"/>
      <c r="K95" s="417"/>
      <c r="L95" s="417"/>
      <c r="M95" s="417"/>
      <c r="N95" s="417"/>
      <c r="O95" s="417"/>
    </row>
    <row r="96" spans="2:15" s="416" customFormat="1" ht="15" customHeight="1">
      <c r="B96" s="422"/>
      <c r="C96" s="417"/>
      <c r="D96" s="417"/>
      <c r="E96" s="417"/>
      <c r="F96" s="417"/>
      <c r="G96" s="417"/>
      <c r="H96" s="417"/>
      <c r="I96" s="417"/>
      <c r="J96" s="417"/>
      <c r="K96" s="417"/>
      <c r="L96" s="417"/>
      <c r="M96" s="417"/>
      <c r="N96" s="417"/>
      <c r="O96" s="417"/>
    </row>
    <row r="97" spans="2:15" s="416" customFormat="1" ht="15" customHeight="1">
      <c r="B97" s="422"/>
      <c r="C97" s="417"/>
      <c r="D97" s="417"/>
      <c r="E97" s="417"/>
      <c r="F97" s="417"/>
      <c r="G97" s="417"/>
      <c r="H97" s="417"/>
      <c r="I97" s="417"/>
      <c r="J97" s="417"/>
      <c r="K97" s="417"/>
      <c r="L97" s="417"/>
      <c r="M97" s="417"/>
      <c r="N97" s="417"/>
      <c r="O97" s="417"/>
    </row>
    <row r="98" spans="2:15" s="416" customFormat="1" ht="15" customHeight="1">
      <c r="B98" s="422"/>
      <c r="C98" s="417"/>
      <c r="D98" s="417"/>
      <c r="E98" s="417"/>
      <c r="F98" s="417"/>
      <c r="G98" s="417"/>
      <c r="H98" s="417"/>
      <c r="I98" s="417"/>
      <c r="J98" s="417"/>
      <c r="K98" s="417"/>
      <c r="L98" s="417"/>
      <c r="M98" s="417"/>
      <c r="N98" s="417"/>
      <c r="O98" s="417"/>
    </row>
    <row r="99" spans="2:15" s="416" customFormat="1" ht="15" customHeight="1">
      <c r="B99" s="422"/>
      <c r="C99" s="417"/>
      <c r="D99" s="417"/>
      <c r="E99" s="417"/>
      <c r="F99" s="417"/>
      <c r="G99" s="417"/>
      <c r="H99" s="417"/>
      <c r="I99" s="417"/>
      <c r="J99" s="417"/>
      <c r="K99" s="417"/>
      <c r="L99" s="417"/>
      <c r="M99" s="417"/>
      <c r="N99" s="417"/>
      <c r="O99" s="417"/>
    </row>
    <row r="100" spans="2:15" s="416" customFormat="1" ht="15" customHeight="1">
      <c r="B100" s="422"/>
      <c r="C100" s="417"/>
      <c r="D100" s="417"/>
      <c r="E100" s="417"/>
      <c r="F100" s="417"/>
      <c r="G100" s="417"/>
      <c r="H100" s="417"/>
      <c r="I100" s="417"/>
      <c r="J100" s="417"/>
      <c r="K100" s="417"/>
      <c r="L100" s="417"/>
      <c r="M100" s="417"/>
      <c r="N100" s="417"/>
      <c r="O100" s="417"/>
    </row>
    <row r="101" spans="2:15" s="416" customFormat="1" ht="15" customHeight="1">
      <c r="B101" s="422"/>
      <c r="C101" s="417"/>
      <c r="D101" s="417"/>
      <c r="E101" s="417"/>
      <c r="F101" s="417"/>
      <c r="G101" s="417"/>
      <c r="H101" s="417"/>
      <c r="I101" s="417"/>
      <c r="J101" s="417"/>
      <c r="K101" s="417"/>
      <c r="L101" s="417"/>
      <c r="M101" s="417"/>
      <c r="N101" s="417"/>
      <c r="O101" s="417"/>
    </row>
    <row r="102" spans="2:15" s="416" customFormat="1" ht="15" customHeight="1">
      <c r="B102" s="422"/>
      <c r="C102" s="417"/>
      <c r="D102" s="417"/>
      <c r="E102" s="417"/>
      <c r="F102" s="417"/>
      <c r="G102" s="417"/>
      <c r="H102" s="417"/>
      <c r="I102" s="417"/>
      <c r="J102" s="417"/>
      <c r="K102" s="417"/>
      <c r="L102" s="417"/>
      <c r="M102" s="417"/>
      <c r="N102" s="417"/>
      <c r="O102" s="417"/>
    </row>
    <row r="103" spans="2:15" s="416" customFormat="1" ht="15" customHeight="1">
      <c r="B103" s="422"/>
      <c r="C103" s="417"/>
      <c r="D103" s="417"/>
      <c r="E103" s="417"/>
      <c r="F103" s="417"/>
      <c r="G103" s="417"/>
      <c r="H103" s="417"/>
      <c r="I103" s="417"/>
      <c r="J103" s="417"/>
      <c r="K103" s="417"/>
      <c r="L103" s="417"/>
      <c r="M103" s="417"/>
      <c r="N103" s="417"/>
      <c r="O103" s="417"/>
    </row>
    <row r="104" spans="2:15" s="416" customFormat="1" ht="15" customHeight="1">
      <c r="B104" s="422"/>
      <c r="C104" s="417"/>
      <c r="D104" s="417"/>
      <c r="E104" s="417"/>
      <c r="F104" s="417"/>
      <c r="G104" s="417"/>
      <c r="H104" s="417"/>
      <c r="I104" s="417"/>
      <c r="J104" s="417"/>
      <c r="K104" s="417"/>
      <c r="L104" s="417"/>
      <c r="M104" s="417"/>
      <c r="N104" s="417"/>
      <c r="O104" s="417"/>
    </row>
    <row r="105" spans="2:15" s="416" customFormat="1" ht="15" customHeight="1">
      <c r="B105" s="422"/>
      <c r="C105" s="417"/>
      <c r="D105" s="417"/>
      <c r="E105" s="417"/>
      <c r="F105" s="417"/>
      <c r="G105" s="417"/>
      <c r="H105" s="417"/>
      <c r="I105" s="417"/>
      <c r="J105" s="417"/>
      <c r="K105" s="417"/>
      <c r="L105" s="417"/>
      <c r="M105" s="417"/>
      <c r="N105" s="417"/>
      <c r="O105" s="417"/>
    </row>
    <row r="106" spans="2:15" s="416" customFormat="1" ht="15" customHeight="1">
      <c r="B106" s="422"/>
      <c r="C106" s="417"/>
      <c r="D106" s="417"/>
      <c r="E106" s="417"/>
      <c r="F106" s="417"/>
      <c r="G106" s="417"/>
      <c r="H106" s="417"/>
      <c r="I106" s="417"/>
      <c r="J106" s="417"/>
      <c r="K106" s="417"/>
      <c r="L106" s="417"/>
      <c r="M106" s="417"/>
      <c r="N106" s="417"/>
      <c r="O106" s="417"/>
    </row>
    <row r="107" spans="2:15" s="416" customFormat="1" ht="15" customHeight="1">
      <c r="B107" s="422"/>
      <c r="C107" s="417"/>
      <c r="D107" s="417"/>
      <c r="E107" s="417"/>
      <c r="F107" s="417"/>
      <c r="G107" s="417"/>
      <c r="H107" s="417"/>
      <c r="I107" s="417"/>
      <c r="J107" s="417"/>
      <c r="K107" s="417"/>
      <c r="L107" s="417"/>
      <c r="M107" s="417"/>
      <c r="N107" s="417"/>
      <c r="O107" s="417"/>
    </row>
    <row r="108" spans="2:15" s="416" customFormat="1" ht="15" customHeight="1">
      <c r="B108" s="422"/>
      <c r="C108" s="417"/>
      <c r="D108" s="417"/>
      <c r="E108" s="417"/>
      <c r="F108" s="417"/>
      <c r="G108" s="417"/>
      <c r="H108" s="417"/>
      <c r="I108" s="417"/>
      <c r="J108" s="417"/>
      <c r="K108" s="417"/>
      <c r="L108" s="417"/>
      <c r="M108" s="417"/>
      <c r="N108" s="417"/>
      <c r="O108" s="417"/>
    </row>
    <row r="109" spans="2:15" s="416" customFormat="1" ht="15" customHeight="1">
      <c r="B109" s="422"/>
      <c r="C109" s="417"/>
      <c r="D109" s="417"/>
      <c r="E109" s="417"/>
      <c r="F109" s="417"/>
      <c r="G109" s="417"/>
      <c r="H109" s="417"/>
      <c r="I109" s="417"/>
      <c r="J109" s="417"/>
      <c r="K109" s="417"/>
      <c r="L109" s="417"/>
      <c r="M109" s="417"/>
      <c r="N109" s="417"/>
      <c r="O109" s="417"/>
    </row>
    <row r="110" spans="2:15" s="416" customFormat="1" ht="15" customHeight="1">
      <c r="B110" s="422"/>
      <c r="C110" s="417"/>
      <c r="D110" s="417"/>
      <c r="E110" s="417"/>
      <c r="F110" s="417"/>
      <c r="G110" s="417"/>
      <c r="H110" s="417"/>
      <c r="I110" s="417"/>
      <c r="J110" s="417"/>
      <c r="K110" s="417"/>
      <c r="L110" s="417"/>
      <c r="M110" s="417"/>
      <c r="N110" s="417"/>
      <c r="O110" s="417"/>
    </row>
    <row r="111" spans="2:15" s="416" customFormat="1" ht="15" customHeight="1">
      <c r="B111" s="422"/>
      <c r="C111" s="417"/>
      <c r="D111" s="417"/>
      <c r="E111" s="417"/>
      <c r="F111" s="417"/>
      <c r="G111" s="417"/>
      <c r="H111" s="417"/>
      <c r="I111" s="417"/>
      <c r="J111" s="417"/>
      <c r="K111" s="417"/>
      <c r="L111" s="417"/>
      <c r="M111" s="417"/>
      <c r="N111" s="417"/>
      <c r="O111" s="417"/>
    </row>
    <row r="112" spans="2:15" s="416" customFormat="1" ht="15" customHeight="1">
      <c r="B112" s="422"/>
      <c r="C112" s="417"/>
      <c r="D112" s="417"/>
      <c r="E112" s="417"/>
      <c r="F112" s="417"/>
      <c r="G112" s="417"/>
      <c r="H112" s="417"/>
      <c r="I112" s="417"/>
      <c r="J112" s="417"/>
      <c r="K112" s="417"/>
      <c r="L112" s="417"/>
      <c r="M112" s="417"/>
      <c r="N112" s="417"/>
      <c r="O112" s="417"/>
    </row>
    <row r="113" spans="2:15" s="416" customFormat="1" ht="15" customHeight="1">
      <c r="B113" s="422"/>
      <c r="C113" s="417"/>
      <c r="D113" s="417"/>
      <c r="E113" s="417"/>
      <c r="F113" s="417"/>
      <c r="G113" s="417"/>
      <c r="H113" s="417"/>
      <c r="I113" s="417"/>
      <c r="J113" s="417"/>
      <c r="K113" s="417"/>
      <c r="L113" s="417"/>
      <c r="M113" s="417"/>
      <c r="N113" s="417"/>
      <c r="O113" s="417"/>
    </row>
    <row r="114" spans="2:15" s="416" customFormat="1" ht="15" customHeight="1">
      <c r="B114" s="422"/>
      <c r="C114" s="417"/>
      <c r="D114" s="417"/>
      <c r="E114" s="417"/>
      <c r="F114" s="417"/>
      <c r="G114" s="417"/>
      <c r="H114" s="417"/>
      <c r="I114" s="417"/>
      <c r="J114" s="417"/>
      <c r="K114" s="417"/>
      <c r="L114" s="417"/>
      <c r="M114" s="417"/>
      <c r="N114" s="417"/>
      <c r="O114" s="417"/>
    </row>
    <row r="115" spans="2:15" s="416" customFormat="1" ht="15" customHeight="1">
      <c r="B115" s="422"/>
      <c r="C115" s="417"/>
      <c r="D115" s="417"/>
      <c r="E115" s="417"/>
      <c r="F115" s="417"/>
      <c r="G115" s="417"/>
      <c r="H115" s="417"/>
      <c r="I115" s="417"/>
      <c r="J115" s="417"/>
      <c r="K115" s="417"/>
      <c r="L115" s="417"/>
      <c r="M115" s="417"/>
      <c r="N115" s="417"/>
      <c r="O115" s="417"/>
    </row>
    <row r="116" spans="2:15" s="416" customFormat="1" ht="15" customHeight="1">
      <c r="B116" s="422"/>
      <c r="C116" s="417"/>
      <c r="D116" s="417"/>
      <c r="E116" s="417"/>
      <c r="F116" s="417"/>
      <c r="G116" s="417"/>
      <c r="H116" s="417"/>
      <c r="I116" s="417"/>
      <c r="J116" s="417"/>
      <c r="K116" s="417"/>
      <c r="L116" s="417"/>
      <c r="M116" s="417"/>
      <c r="N116" s="417"/>
      <c r="O116" s="417"/>
    </row>
    <row r="117" spans="2:15" s="416" customFormat="1" ht="15" customHeight="1">
      <c r="B117" s="422"/>
      <c r="C117" s="417"/>
      <c r="D117" s="417"/>
      <c r="E117" s="417"/>
      <c r="F117" s="417"/>
      <c r="G117" s="417"/>
      <c r="H117" s="417"/>
      <c r="I117" s="417"/>
      <c r="J117" s="417"/>
      <c r="K117" s="417"/>
      <c r="L117" s="417"/>
      <c r="M117" s="417"/>
      <c r="N117" s="417"/>
      <c r="O117" s="417"/>
    </row>
    <row r="118" spans="2:15" s="416" customFormat="1" ht="15" customHeight="1">
      <c r="B118" s="422"/>
      <c r="C118" s="417"/>
      <c r="D118" s="417"/>
      <c r="E118" s="417"/>
      <c r="F118" s="417"/>
      <c r="G118" s="417"/>
      <c r="H118" s="417"/>
      <c r="I118" s="417"/>
      <c r="J118" s="417"/>
      <c r="K118" s="417"/>
      <c r="L118" s="417"/>
      <c r="M118" s="417"/>
      <c r="N118" s="417"/>
      <c r="O118" s="417"/>
    </row>
    <row r="119" spans="2:15" s="416" customFormat="1" ht="15" customHeight="1">
      <c r="B119" s="422"/>
      <c r="C119" s="417"/>
      <c r="D119" s="417"/>
      <c r="E119" s="417"/>
      <c r="F119" s="417"/>
      <c r="G119" s="417"/>
      <c r="H119" s="417"/>
      <c r="I119" s="417"/>
      <c r="J119" s="417"/>
      <c r="K119" s="417"/>
      <c r="L119" s="417"/>
      <c r="M119" s="417"/>
      <c r="N119" s="417"/>
      <c r="O119" s="417"/>
    </row>
    <row r="120" spans="2:15" s="416" customFormat="1" ht="15" customHeight="1">
      <c r="B120" s="422"/>
      <c r="C120" s="417"/>
      <c r="D120" s="417"/>
      <c r="E120" s="417"/>
      <c r="F120" s="417"/>
      <c r="G120" s="417"/>
      <c r="H120" s="417"/>
      <c r="I120" s="417"/>
      <c r="J120" s="417"/>
      <c r="K120" s="417"/>
      <c r="L120" s="417"/>
      <c r="M120" s="417"/>
      <c r="N120" s="417"/>
      <c r="O120" s="417"/>
    </row>
    <row r="121" spans="2:15" s="416" customFormat="1" ht="15" customHeight="1">
      <c r="B121" s="422"/>
      <c r="C121" s="417"/>
      <c r="D121" s="417"/>
      <c r="E121" s="417"/>
      <c r="F121" s="417"/>
      <c r="G121" s="417"/>
      <c r="H121" s="417"/>
      <c r="I121" s="417"/>
      <c r="J121" s="417"/>
      <c r="K121" s="417"/>
      <c r="L121" s="417"/>
      <c r="M121" s="417"/>
      <c r="N121" s="417"/>
      <c r="O121" s="417"/>
    </row>
    <row r="122" spans="2:15" s="416" customFormat="1" ht="15" customHeight="1">
      <c r="B122" s="422"/>
      <c r="C122" s="417"/>
      <c r="D122" s="417"/>
      <c r="E122" s="417"/>
      <c r="F122" s="417"/>
      <c r="G122" s="417"/>
      <c r="H122" s="417"/>
      <c r="I122" s="417"/>
      <c r="J122" s="417"/>
      <c r="K122" s="417"/>
      <c r="L122" s="417"/>
      <c r="M122" s="417"/>
      <c r="N122" s="417"/>
      <c r="O122" s="417"/>
    </row>
    <row r="123" spans="2:15" s="416" customFormat="1" ht="15" customHeight="1">
      <c r="B123" s="422"/>
      <c r="C123" s="417"/>
      <c r="D123" s="417"/>
      <c r="E123" s="417"/>
      <c r="F123" s="417"/>
      <c r="G123" s="417"/>
      <c r="H123" s="417"/>
      <c r="I123" s="417"/>
      <c r="J123" s="417"/>
      <c r="K123" s="417"/>
      <c r="L123" s="417"/>
      <c r="M123" s="417"/>
      <c r="N123" s="417"/>
      <c r="O123" s="417"/>
    </row>
    <row r="124" spans="2:15" s="416" customFormat="1" ht="15" customHeight="1">
      <c r="B124" s="422"/>
      <c r="C124" s="417"/>
      <c r="D124" s="417"/>
      <c r="E124" s="417"/>
      <c r="F124" s="417"/>
      <c r="G124" s="417"/>
      <c r="H124" s="417"/>
      <c r="I124" s="417"/>
      <c r="J124" s="417"/>
      <c r="K124" s="417"/>
      <c r="L124" s="417"/>
      <c r="M124" s="417"/>
      <c r="N124" s="417"/>
      <c r="O124" s="417"/>
    </row>
    <row r="125" spans="2:15" s="416" customFormat="1" ht="15" customHeight="1">
      <c r="B125" s="422"/>
      <c r="C125" s="417"/>
      <c r="D125" s="417"/>
      <c r="E125" s="417"/>
      <c r="F125" s="417"/>
      <c r="G125" s="417"/>
      <c r="H125" s="417"/>
      <c r="I125" s="417"/>
      <c r="J125" s="417"/>
      <c r="K125" s="417"/>
      <c r="L125" s="417"/>
      <c r="M125" s="417"/>
      <c r="N125" s="417"/>
      <c r="O125" s="417"/>
    </row>
    <row r="126" spans="2:15" s="416" customFormat="1" ht="15" customHeight="1">
      <c r="B126" s="422"/>
      <c r="C126" s="417"/>
      <c r="D126" s="417"/>
      <c r="E126" s="417"/>
      <c r="F126" s="417"/>
      <c r="G126" s="417"/>
      <c r="H126" s="417"/>
      <c r="I126" s="417"/>
      <c r="J126" s="417"/>
      <c r="K126" s="417"/>
      <c r="L126" s="417"/>
      <c r="M126" s="417"/>
      <c r="N126" s="417"/>
      <c r="O126" s="417"/>
    </row>
    <row r="127" spans="2:15" s="416" customFormat="1" ht="15" customHeight="1">
      <c r="B127" s="422"/>
      <c r="C127" s="417"/>
      <c r="D127" s="417"/>
      <c r="E127" s="417"/>
      <c r="F127" s="417"/>
      <c r="G127" s="417"/>
      <c r="H127" s="417"/>
      <c r="I127" s="417"/>
      <c r="J127" s="417"/>
      <c r="K127" s="417"/>
      <c r="L127" s="417"/>
      <c r="M127" s="417"/>
      <c r="N127" s="417"/>
      <c r="O127" s="417"/>
    </row>
    <row r="128" spans="2:15" s="416" customFormat="1" ht="15" customHeight="1">
      <c r="B128" s="422"/>
      <c r="C128" s="417"/>
      <c r="D128" s="417"/>
      <c r="E128" s="417"/>
      <c r="F128" s="417"/>
      <c r="G128" s="417"/>
      <c r="H128" s="417"/>
      <c r="I128" s="417"/>
      <c r="J128" s="417"/>
      <c r="K128" s="417"/>
      <c r="L128" s="417"/>
      <c r="M128" s="417"/>
      <c r="N128" s="417"/>
      <c r="O128" s="417"/>
    </row>
    <row r="129" spans="2:15" s="416" customFormat="1" ht="15" customHeight="1">
      <c r="B129" s="422"/>
      <c r="C129" s="417"/>
      <c r="D129" s="417"/>
      <c r="E129" s="417"/>
      <c r="F129" s="417"/>
      <c r="G129" s="417"/>
      <c r="H129" s="417"/>
      <c r="I129" s="417"/>
      <c r="J129" s="417"/>
      <c r="K129" s="417"/>
      <c r="L129" s="417"/>
      <c r="M129" s="417"/>
      <c r="N129" s="417"/>
      <c r="O129" s="417"/>
    </row>
    <row r="130" spans="2:15" s="416" customFormat="1" ht="15" customHeight="1">
      <c r="B130" s="422"/>
      <c r="C130" s="417"/>
      <c r="D130" s="417"/>
      <c r="E130" s="417"/>
      <c r="F130" s="417"/>
      <c r="G130" s="417"/>
      <c r="H130" s="417"/>
      <c r="I130" s="417"/>
      <c r="J130" s="417"/>
      <c r="K130" s="417"/>
      <c r="L130" s="417"/>
      <c r="M130" s="417"/>
      <c r="N130" s="417"/>
      <c r="O130" s="417"/>
    </row>
    <row r="131" spans="2:15" s="416" customFormat="1" ht="15" customHeight="1">
      <c r="B131" s="422"/>
      <c r="C131" s="417"/>
      <c r="D131" s="417"/>
      <c r="E131" s="417"/>
      <c r="F131" s="417"/>
      <c r="G131" s="417"/>
      <c r="H131" s="417"/>
      <c r="I131" s="417"/>
      <c r="J131" s="417"/>
      <c r="K131" s="417"/>
      <c r="L131" s="417"/>
      <c r="M131" s="417"/>
      <c r="N131" s="417"/>
      <c r="O131" s="417"/>
    </row>
    <row r="132" spans="2:15" s="416" customFormat="1" ht="15" customHeight="1">
      <c r="B132" s="422"/>
      <c r="C132" s="417"/>
      <c r="D132" s="417"/>
      <c r="E132" s="417"/>
      <c r="F132" s="417"/>
      <c r="G132" s="417"/>
      <c r="H132" s="417"/>
      <c r="I132" s="417"/>
      <c r="J132" s="417"/>
      <c r="K132" s="417"/>
      <c r="L132" s="417"/>
      <c r="M132" s="417"/>
      <c r="N132" s="417"/>
      <c r="O132" s="417"/>
    </row>
    <row r="133" spans="2:15" s="416" customFormat="1" ht="15" customHeight="1">
      <c r="B133" s="422"/>
      <c r="C133" s="417"/>
      <c r="D133" s="417"/>
      <c r="E133" s="417"/>
      <c r="F133" s="417"/>
      <c r="G133" s="417"/>
      <c r="H133" s="417"/>
      <c r="I133" s="417"/>
      <c r="J133" s="417"/>
      <c r="K133" s="417"/>
      <c r="L133" s="417"/>
      <c r="M133" s="417"/>
      <c r="N133" s="417"/>
      <c r="O133" s="417"/>
    </row>
    <row r="134" spans="2:15" s="416" customFormat="1" ht="15" customHeight="1">
      <c r="B134" s="422"/>
      <c r="C134" s="417"/>
      <c r="D134" s="417"/>
      <c r="E134" s="417"/>
      <c r="F134" s="417"/>
      <c r="G134" s="417"/>
      <c r="H134" s="417"/>
      <c r="I134" s="417"/>
      <c r="J134" s="417"/>
      <c r="K134" s="417"/>
      <c r="L134" s="417"/>
      <c r="M134" s="417"/>
      <c r="N134" s="417"/>
      <c r="O134" s="417"/>
    </row>
    <row r="135" spans="2:15" s="416" customFormat="1" ht="15" customHeight="1">
      <c r="B135" s="422"/>
      <c r="C135" s="417"/>
      <c r="D135" s="417"/>
      <c r="E135" s="417"/>
      <c r="F135" s="417"/>
      <c r="G135" s="417"/>
      <c r="H135" s="417"/>
      <c r="I135" s="417"/>
      <c r="J135" s="417"/>
      <c r="K135" s="417"/>
      <c r="L135" s="417"/>
      <c r="M135" s="417"/>
      <c r="N135" s="417"/>
      <c r="O135" s="417"/>
    </row>
    <row r="136" spans="2:15" s="416" customFormat="1" ht="15" customHeight="1">
      <c r="B136" s="422"/>
      <c r="C136" s="417"/>
      <c r="D136" s="417"/>
      <c r="E136" s="417"/>
      <c r="F136" s="417"/>
      <c r="G136" s="417"/>
      <c r="H136" s="417"/>
      <c r="I136" s="417"/>
      <c r="J136" s="417"/>
      <c r="K136" s="417"/>
      <c r="L136" s="417"/>
      <c r="M136" s="417"/>
      <c r="N136" s="417"/>
      <c r="O136" s="417"/>
    </row>
    <row r="137" spans="2:15" s="416" customFormat="1" ht="15" customHeight="1">
      <c r="B137" s="422"/>
      <c r="C137" s="417"/>
      <c r="D137" s="417"/>
      <c r="E137" s="417"/>
      <c r="F137" s="417"/>
      <c r="G137" s="417"/>
      <c r="H137" s="417"/>
      <c r="I137" s="417"/>
      <c r="J137" s="417"/>
      <c r="K137" s="417"/>
      <c r="L137" s="417"/>
      <c r="M137" s="417"/>
      <c r="N137" s="417"/>
      <c r="O137" s="417"/>
    </row>
    <row r="138" spans="2:15" s="416" customFormat="1" ht="15" customHeight="1">
      <c r="B138" s="422"/>
      <c r="C138" s="417"/>
      <c r="D138" s="417"/>
      <c r="E138" s="417"/>
      <c r="F138" s="417"/>
      <c r="G138" s="417"/>
      <c r="H138" s="417"/>
      <c r="I138" s="417"/>
      <c r="J138" s="417"/>
      <c r="K138" s="417"/>
      <c r="L138" s="417"/>
      <c r="M138" s="417"/>
      <c r="N138" s="417"/>
      <c r="O138" s="417"/>
    </row>
    <row r="139" spans="2:15" s="416" customFormat="1" ht="15" customHeight="1">
      <c r="B139" s="422"/>
      <c r="C139" s="417"/>
      <c r="D139" s="417"/>
      <c r="E139" s="417"/>
      <c r="F139" s="417"/>
      <c r="G139" s="417"/>
      <c r="H139" s="417"/>
      <c r="I139" s="417"/>
      <c r="J139" s="417"/>
      <c r="K139" s="417"/>
      <c r="L139" s="417"/>
      <c r="M139" s="417"/>
      <c r="N139" s="417"/>
      <c r="O139" s="417"/>
    </row>
    <row r="140" spans="2:15" s="416" customFormat="1" ht="15" customHeight="1">
      <c r="B140" s="422"/>
      <c r="C140" s="417"/>
      <c r="D140" s="417"/>
      <c r="E140" s="417"/>
      <c r="F140" s="417"/>
      <c r="G140" s="417"/>
      <c r="H140" s="417"/>
      <c r="I140" s="417"/>
      <c r="J140" s="417"/>
      <c r="K140" s="417"/>
      <c r="L140" s="417"/>
      <c r="M140" s="417"/>
      <c r="N140" s="417"/>
      <c r="O140" s="417"/>
    </row>
    <row r="141" spans="2:15" s="416" customFormat="1" ht="15" customHeight="1">
      <c r="B141" s="422"/>
      <c r="C141" s="417"/>
      <c r="D141" s="417"/>
      <c r="E141" s="417"/>
      <c r="F141" s="417"/>
      <c r="G141" s="417"/>
      <c r="H141" s="417"/>
      <c r="I141" s="417"/>
      <c r="J141" s="417"/>
      <c r="K141" s="417"/>
      <c r="L141" s="417"/>
      <c r="M141" s="417"/>
      <c r="N141" s="417"/>
      <c r="O141" s="417"/>
    </row>
    <row r="142" spans="2:15" s="416" customFormat="1" ht="15" customHeight="1">
      <c r="B142" s="422"/>
      <c r="C142" s="417"/>
      <c r="D142" s="417"/>
      <c r="E142" s="417"/>
      <c r="F142" s="417"/>
      <c r="G142" s="417"/>
      <c r="H142" s="417"/>
      <c r="I142" s="417"/>
      <c r="J142" s="417"/>
      <c r="K142" s="417"/>
      <c r="L142" s="417"/>
      <c r="M142" s="417"/>
      <c r="N142" s="417"/>
      <c r="O142" s="417"/>
    </row>
    <row r="143" spans="2:15" s="416" customFormat="1" ht="15" customHeight="1">
      <c r="B143" s="422"/>
      <c r="C143" s="417"/>
      <c r="D143" s="417"/>
      <c r="E143" s="417"/>
      <c r="F143" s="417"/>
      <c r="G143" s="417"/>
      <c r="H143" s="417"/>
      <c r="I143" s="417"/>
      <c r="J143" s="417"/>
      <c r="K143" s="417"/>
      <c r="L143" s="417"/>
      <c r="M143" s="417"/>
      <c r="N143" s="417"/>
      <c r="O143" s="417"/>
    </row>
    <row r="144" spans="2:15" s="416" customFormat="1" ht="15" customHeight="1">
      <c r="B144" s="422"/>
      <c r="C144" s="417"/>
      <c r="D144" s="417"/>
      <c r="E144" s="417"/>
      <c r="F144" s="417"/>
      <c r="G144" s="417"/>
      <c r="H144" s="417"/>
      <c r="I144" s="417"/>
      <c r="J144" s="417"/>
      <c r="K144" s="417"/>
      <c r="L144" s="417"/>
      <c r="M144" s="417"/>
      <c r="N144" s="417"/>
      <c r="O144" s="417"/>
    </row>
    <row r="145" spans="2:15" s="416" customFormat="1" ht="15" customHeight="1">
      <c r="B145" s="422"/>
      <c r="C145" s="417"/>
      <c r="D145" s="417"/>
      <c r="E145" s="417"/>
      <c r="F145" s="417"/>
      <c r="G145" s="417"/>
      <c r="H145" s="417"/>
      <c r="I145" s="417"/>
      <c r="J145" s="417"/>
      <c r="K145" s="417"/>
      <c r="L145" s="417"/>
      <c r="M145" s="417"/>
      <c r="N145" s="417"/>
      <c r="O145" s="417"/>
    </row>
    <row r="146" spans="2:15" s="416" customFormat="1" ht="15" customHeight="1">
      <c r="B146" s="422"/>
      <c r="C146" s="417"/>
      <c r="D146" s="417"/>
      <c r="E146" s="417"/>
      <c r="F146" s="417"/>
      <c r="G146" s="417"/>
      <c r="H146" s="417"/>
      <c r="I146" s="417"/>
      <c r="J146" s="417"/>
      <c r="K146" s="417"/>
      <c r="L146" s="417"/>
      <c r="M146" s="417"/>
      <c r="N146" s="417"/>
      <c r="O146" s="417"/>
    </row>
    <row r="147" spans="2:15" s="416" customFormat="1" ht="15" customHeight="1">
      <c r="B147" s="422"/>
      <c r="C147" s="417"/>
      <c r="D147" s="417"/>
      <c r="E147" s="417"/>
      <c r="F147" s="417"/>
      <c r="G147" s="417"/>
      <c r="H147" s="417"/>
      <c r="I147" s="417"/>
      <c r="J147" s="417"/>
      <c r="K147" s="417"/>
      <c r="L147" s="417"/>
      <c r="M147" s="417"/>
      <c r="N147" s="417"/>
      <c r="O147" s="417"/>
    </row>
    <row r="148" spans="2:15" s="416" customFormat="1" ht="15" customHeight="1">
      <c r="B148" s="422"/>
      <c r="C148" s="417"/>
      <c r="D148" s="417"/>
      <c r="E148" s="417"/>
      <c r="F148" s="417"/>
      <c r="G148" s="417"/>
      <c r="H148" s="417"/>
      <c r="I148" s="417"/>
      <c r="J148" s="417"/>
      <c r="K148" s="417"/>
      <c r="L148" s="417"/>
      <c r="M148" s="417"/>
      <c r="N148" s="417"/>
      <c r="O148" s="417"/>
    </row>
    <row r="149" spans="2:15" s="416" customFormat="1" ht="15" customHeight="1">
      <c r="B149" s="422"/>
      <c r="C149" s="417"/>
      <c r="D149" s="417"/>
      <c r="E149" s="417"/>
      <c r="F149" s="417"/>
      <c r="G149" s="417"/>
      <c r="H149" s="417"/>
      <c r="I149" s="417"/>
      <c r="J149" s="417"/>
      <c r="K149" s="417"/>
      <c r="L149" s="417"/>
      <c r="M149" s="417"/>
      <c r="N149" s="417"/>
      <c r="O149" s="417"/>
    </row>
    <row r="150" spans="2:15" s="416" customFormat="1" ht="15" customHeight="1">
      <c r="B150" s="422"/>
      <c r="C150" s="417"/>
      <c r="D150" s="417"/>
      <c r="E150" s="417"/>
      <c r="F150" s="417"/>
      <c r="G150" s="417"/>
      <c r="H150" s="417"/>
      <c r="I150" s="417"/>
      <c r="J150" s="417"/>
      <c r="K150" s="417"/>
      <c r="L150" s="417"/>
      <c r="M150" s="417"/>
      <c r="N150" s="417"/>
      <c r="O150" s="417"/>
    </row>
    <row r="151" spans="2:15" s="416" customFormat="1" ht="15" customHeight="1">
      <c r="B151" s="422"/>
      <c r="C151" s="417"/>
      <c r="D151" s="417"/>
      <c r="E151" s="417"/>
      <c r="F151" s="417"/>
      <c r="G151" s="417"/>
      <c r="H151" s="417"/>
      <c r="I151" s="417"/>
      <c r="J151" s="417"/>
      <c r="K151" s="417"/>
      <c r="L151" s="417"/>
      <c r="M151" s="417"/>
      <c r="N151" s="417"/>
      <c r="O151" s="417"/>
    </row>
    <row r="152" spans="2:15" s="416" customFormat="1" ht="15" customHeight="1">
      <c r="B152" s="422"/>
      <c r="C152" s="417"/>
      <c r="D152" s="417"/>
      <c r="E152" s="417"/>
      <c r="F152" s="417"/>
      <c r="G152" s="417"/>
      <c r="H152" s="417"/>
      <c r="I152" s="417"/>
      <c r="J152" s="417"/>
      <c r="K152" s="417"/>
      <c r="L152" s="417"/>
      <c r="M152" s="417"/>
      <c r="N152" s="417"/>
      <c r="O152" s="417"/>
    </row>
    <row r="153" spans="2:15" s="416" customFormat="1" ht="15" customHeight="1">
      <c r="B153" s="422"/>
      <c r="C153" s="417"/>
      <c r="D153" s="417"/>
      <c r="E153" s="417"/>
      <c r="F153" s="417"/>
      <c r="G153" s="417"/>
      <c r="H153" s="417"/>
      <c r="I153" s="417"/>
      <c r="J153" s="417"/>
      <c r="K153" s="417"/>
      <c r="L153" s="417"/>
      <c r="M153" s="417"/>
      <c r="N153" s="417"/>
      <c r="O153" s="417"/>
    </row>
    <row r="154" spans="2:15" s="416" customFormat="1" ht="15" customHeight="1">
      <c r="B154" s="422"/>
      <c r="C154" s="417"/>
      <c r="D154" s="417"/>
      <c r="E154" s="417"/>
      <c r="F154" s="417"/>
      <c r="G154" s="417"/>
      <c r="H154" s="417"/>
      <c r="I154" s="417"/>
      <c r="J154" s="417"/>
      <c r="K154" s="417"/>
      <c r="L154" s="417"/>
      <c r="M154" s="417"/>
      <c r="N154" s="417"/>
      <c r="O154" s="417"/>
    </row>
    <row r="155" spans="2:15" s="416" customFormat="1" ht="15" customHeight="1">
      <c r="B155" s="422"/>
      <c r="C155" s="417"/>
      <c r="D155" s="417"/>
      <c r="E155" s="417"/>
      <c r="F155" s="417"/>
      <c r="G155" s="417"/>
      <c r="H155" s="417"/>
      <c r="I155" s="417"/>
      <c r="J155" s="417"/>
      <c r="K155" s="417"/>
      <c r="L155" s="417"/>
      <c r="M155" s="417"/>
      <c r="N155" s="417"/>
      <c r="O155" s="417"/>
    </row>
    <row r="156" spans="2:15" s="416" customFormat="1" ht="15" customHeight="1">
      <c r="B156" s="422"/>
      <c r="C156" s="417"/>
      <c r="D156" s="417"/>
      <c r="E156" s="417"/>
      <c r="F156" s="417"/>
      <c r="G156" s="417"/>
      <c r="H156" s="417"/>
      <c r="I156" s="417"/>
      <c r="J156" s="417"/>
      <c r="K156" s="417"/>
      <c r="L156" s="417"/>
      <c r="M156" s="417"/>
      <c r="N156" s="417"/>
      <c r="O156" s="417"/>
    </row>
    <row r="157" spans="2:15" s="416" customFormat="1" ht="15" customHeight="1">
      <c r="B157" s="422"/>
      <c r="C157" s="417"/>
      <c r="D157" s="417"/>
      <c r="E157" s="417"/>
      <c r="F157" s="417"/>
      <c r="G157" s="417"/>
      <c r="H157" s="417"/>
      <c r="I157" s="417"/>
      <c r="J157" s="417"/>
      <c r="K157" s="417"/>
      <c r="L157" s="417"/>
      <c r="M157" s="417"/>
      <c r="N157" s="417"/>
      <c r="O157" s="417"/>
    </row>
    <row r="158" spans="2:15" s="416" customFormat="1" ht="15" customHeight="1">
      <c r="B158" s="422"/>
      <c r="C158" s="417"/>
      <c r="D158" s="417"/>
      <c r="E158" s="417"/>
      <c r="F158" s="417"/>
      <c r="G158" s="417"/>
      <c r="H158" s="417"/>
      <c r="I158" s="417"/>
      <c r="J158" s="417"/>
      <c r="K158" s="417"/>
      <c r="L158" s="417"/>
      <c r="M158" s="417"/>
      <c r="N158" s="417"/>
      <c r="O158" s="417"/>
    </row>
    <row r="159" spans="2:15" s="416" customFormat="1" ht="15" customHeight="1">
      <c r="B159" s="422"/>
      <c r="C159" s="417"/>
      <c r="D159" s="417"/>
      <c r="E159" s="417"/>
      <c r="F159" s="417"/>
      <c r="G159" s="417"/>
      <c r="H159" s="417"/>
      <c r="I159" s="417"/>
      <c r="J159" s="417"/>
      <c r="K159" s="417"/>
      <c r="L159" s="417"/>
      <c r="M159" s="417"/>
      <c r="N159" s="417"/>
      <c r="O159" s="417"/>
    </row>
    <row r="160" spans="2:15" s="416" customFormat="1" ht="15" customHeight="1">
      <c r="B160" s="422"/>
      <c r="C160" s="417"/>
      <c r="D160" s="417"/>
      <c r="E160" s="417"/>
      <c r="F160" s="417"/>
      <c r="G160" s="417"/>
      <c r="H160" s="417"/>
      <c r="I160" s="417"/>
      <c r="J160" s="417"/>
      <c r="K160" s="417"/>
      <c r="L160" s="417"/>
      <c r="M160" s="417"/>
      <c r="N160" s="417"/>
      <c r="O160" s="417"/>
    </row>
    <row r="161" spans="2:15" s="416" customFormat="1" ht="15" customHeight="1">
      <c r="B161" s="422"/>
      <c r="C161" s="417"/>
      <c r="D161" s="417"/>
      <c r="E161" s="417"/>
      <c r="F161" s="417"/>
      <c r="G161" s="417"/>
      <c r="H161" s="417"/>
      <c r="I161" s="417"/>
      <c r="J161" s="417"/>
      <c r="K161" s="417"/>
      <c r="L161" s="417"/>
      <c r="M161" s="417"/>
      <c r="N161" s="417"/>
      <c r="O161" s="417"/>
    </row>
    <row r="162" spans="2:15" s="416" customFormat="1" ht="15" customHeight="1">
      <c r="B162" s="422"/>
      <c r="C162" s="417"/>
      <c r="D162" s="417"/>
      <c r="E162" s="417"/>
      <c r="F162" s="417"/>
      <c r="G162" s="417"/>
      <c r="H162" s="417"/>
      <c r="I162" s="417"/>
      <c r="J162" s="417"/>
      <c r="K162" s="417"/>
      <c r="L162" s="417"/>
      <c r="M162" s="417"/>
      <c r="N162" s="417"/>
      <c r="O162" s="417"/>
    </row>
    <row r="163" spans="2:15" s="416" customFormat="1" ht="15" customHeight="1">
      <c r="B163" s="422"/>
      <c r="C163" s="417"/>
      <c r="D163" s="417"/>
      <c r="E163" s="417"/>
      <c r="F163" s="417"/>
      <c r="G163" s="417"/>
      <c r="H163" s="417"/>
      <c r="I163" s="417"/>
      <c r="J163" s="417"/>
      <c r="K163" s="417"/>
      <c r="L163" s="417"/>
      <c r="M163" s="417"/>
      <c r="N163" s="417"/>
      <c r="O163" s="417"/>
    </row>
    <row r="164" spans="2:15" s="416" customFormat="1" ht="15" customHeight="1">
      <c r="B164" s="422"/>
      <c r="C164" s="417"/>
      <c r="D164" s="417"/>
      <c r="E164" s="417"/>
      <c r="F164" s="417"/>
      <c r="G164" s="417"/>
      <c r="H164" s="417"/>
      <c r="I164" s="417"/>
      <c r="J164" s="417"/>
      <c r="K164" s="417"/>
      <c r="L164" s="417"/>
      <c r="M164" s="417"/>
      <c r="N164" s="417"/>
      <c r="O164" s="417"/>
    </row>
    <row r="165" spans="2:15" s="416" customFormat="1" ht="15" customHeight="1">
      <c r="B165" s="422"/>
      <c r="C165" s="417"/>
      <c r="D165" s="417"/>
      <c r="E165" s="417"/>
      <c r="F165" s="417"/>
      <c r="G165" s="417"/>
      <c r="H165" s="417"/>
      <c r="I165" s="417"/>
      <c r="J165" s="417"/>
      <c r="K165" s="417"/>
      <c r="L165" s="417"/>
      <c r="M165" s="417"/>
      <c r="N165" s="417"/>
      <c r="O165" s="417"/>
    </row>
    <row r="166" spans="2:15" s="416" customFormat="1" ht="15" customHeight="1">
      <c r="B166" s="422"/>
      <c r="C166" s="417"/>
      <c r="D166" s="417"/>
      <c r="E166" s="417"/>
      <c r="F166" s="417"/>
      <c r="G166" s="417"/>
      <c r="H166" s="417"/>
      <c r="I166" s="417"/>
      <c r="J166" s="417"/>
      <c r="K166" s="417"/>
      <c r="L166" s="417"/>
      <c r="M166" s="417"/>
      <c r="N166" s="417"/>
      <c r="O166" s="417"/>
    </row>
    <row r="167" spans="2:15" s="416" customFormat="1" ht="15" customHeight="1">
      <c r="B167" s="422"/>
      <c r="C167" s="417"/>
      <c r="D167" s="417"/>
      <c r="E167" s="417"/>
      <c r="F167" s="417"/>
      <c r="G167" s="417"/>
      <c r="H167" s="417"/>
      <c r="I167" s="417"/>
      <c r="J167" s="417"/>
      <c r="K167" s="417"/>
      <c r="L167" s="417"/>
      <c r="M167" s="417"/>
      <c r="N167" s="417"/>
      <c r="O167" s="417"/>
    </row>
    <row r="168" spans="2:15" s="416" customFormat="1" ht="15" customHeight="1">
      <c r="B168" s="422"/>
      <c r="C168" s="417"/>
      <c r="D168" s="417"/>
      <c r="E168" s="417"/>
      <c r="F168" s="417"/>
      <c r="G168" s="417"/>
      <c r="H168" s="417"/>
      <c r="I168" s="417"/>
      <c r="J168" s="417"/>
      <c r="K168" s="417"/>
      <c r="L168" s="417"/>
      <c r="M168" s="417"/>
      <c r="N168" s="417"/>
      <c r="O168" s="417"/>
    </row>
    <row r="169" spans="2:15" s="416" customFormat="1" ht="15" customHeight="1">
      <c r="B169" s="422"/>
      <c r="C169" s="417"/>
      <c r="D169" s="417"/>
      <c r="E169" s="417"/>
      <c r="F169" s="417"/>
      <c r="G169" s="417"/>
      <c r="H169" s="417"/>
      <c r="I169" s="417"/>
      <c r="J169" s="417"/>
      <c r="K169" s="417"/>
      <c r="L169" s="417"/>
      <c r="M169" s="417"/>
      <c r="N169" s="417"/>
      <c r="O169" s="417"/>
    </row>
    <row r="170" spans="2:15" s="416" customFormat="1" ht="15" customHeight="1">
      <c r="B170" s="422"/>
      <c r="C170" s="417"/>
      <c r="D170" s="417"/>
      <c r="E170" s="417"/>
      <c r="F170" s="417"/>
      <c r="G170" s="417"/>
      <c r="H170" s="417"/>
      <c r="I170" s="417"/>
      <c r="J170" s="417"/>
      <c r="K170" s="417"/>
      <c r="L170" s="417"/>
      <c r="M170" s="417"/>
      <c r="N170" s="417"/>
      <c r="O170" s="417"/>
    </row>
    <row r="171" spans="2:15" s="416" customFormat="1" ht="15" customHeight="1">
      <c r="B171" s="422"/>
      <c r="C171" s="417"/>
      <c r="D171" s="417"/>
      <c r="E171" s="417"/>
      <c r="F171" s="417"/>
      <c r="G171" s="417"/>
      <c r="H171" s="417"/>
      <c r="I171" s="417"/>
      <c r="J171" s="417"/>
      <c r="K171" s="417"/>
      <c r="L171" s="417"/>
      <c r="M171" s="417"/>
      <c r="N171" s="417"/>
      <c r="O171" s="417"/>
    </row>
    <row r="172" spans="2:15" s="416" customFormat="1" ht="15" customHeight="1">
      <c r="B172" s="422"/>
      <c r="C172" s="417"/>
      <c r="D172" s="417"/>
      <c r="E172" s="417"/>
      <c r="F172" s="417"/>
      <c r="G172" s="417"/>
      <c r="H172" s="417"/>
      <c r="I172" s="417"/>
      <c r="J172" s="417"/>
      <c r="K172" s="417"/>
      <c r="L172" s="417"/>
      <c r="M172" s="417"/>
      <c r="N172" s="417"/>
      <c r="O172" s="417"/>
    </row>
    <row r="173" spans="2:15" s="416" customFormat="1" ht="15" customHeight="1">
      <c r="B173" s="422"/>
      <c r="C173" s="417"/>
      <c r="D173" s="417"/>
      <c r="E173" s="417"/>
      <c r="F173" s="417"/>
      <c r="G173" s="417"/>
      <c r="H173" s="417"/>
      <c r="I173" s="417"/>
      <c r="J173" s="417"/>
      <c r="K173" s="417"/>
      <c r="L173" s="417"/>
      <c r="M173" s="417"/>
      <c r="N173" s="417"/>
      <c r="O173" s="417"/>
    </row>
    <row r="174" spans="2:15" s="416" customFormat="1" ht="15" customHeight="1">
      <c r="B174" s="422"/>
      <c r="C174" s="417"/>
      <c r="D174" s="417"/>
      <c r="E174" s="417"/>
      <c r="F174" s="417"/>
      <c r="G174" s="417"/>
      <c r="H174" s="417"/>
      <c r="I174" s="417"/>
      <c r="J174" s="417"/>
      <c r="K174" s="417"/>
      <c r="L174" s="417"/>
      <c r="M174" s="417"/>
      <c r="N174" s="417"/>
      <c r="O174" s="417"/>
    </row>
    <row r="175" spans="2:15" s="416" customFormat="1" ht="15" customHeight="1">
      <c r="B175" s="422"/>
      <c r="C175" s="417"/>
      <c r="D175" s="417"/>
      <c r="E175" s="417"/>
      <c r="F175" s="417"/>
      <c r="G175" s="417"/>
      <c r="H175" s="417"/>
      <c r="I175" s="417"/>
      <c r="J175" s="417"/>
      <c r="K175" s="417"/>
      <c r="L175" s="417"/>
      <c r="M175" s="417"/>
      <c r="N175" s="417"/>
      <c r="O175" s="417"/>
    </row>
    <row r="176" spans="2:15" s="416" customFormat="1" ht="15" customHeight="1">
      <c r="B176" s="422"/>
      <c r="C176" s="417"/>
      <c r="D176" s="417"/>
      <c r="E176" s="417"/>
      <c r="F176" s="417"/>
      <c r="G176" s="417"/>
      <c r="H176" s="417"/>
      <c r="I176" s="417"/>
      <c r="J176" s="417"/>
      <c r="K176" s="417"/>
      <c r="L176" s="417"/>
      <c r="M176" s="417"/>
      <c r="N176" s="417"/>
      <c r="O176" s="417"/>
    </row>
    <row r="177" spans="2:15" s="416" customFormat="1" ht="15" customHeight="1">
      <c r="B177" s="422"/>
      <c r="C177" s="417"/>
      <c r="D177" s="417"/>
      <c r="E177" s="417"/>
      <c r="F177" s="417"/>
      <c r="G177" s="417"/>
      <c r="H177" s="417"/>
      <c r="I177" s="417"/>
      <c r="J177" s="417"/>
      <c r="K177" s="417"/>
      <c r="L177" s="417"/>
      <c r="M177" s="417"/>
      <c r="N177" s="417"/>
      <c r="O177" s="417"/>
    </row>
    <row r="178" spans="2:15" s="416" customFormat="1" ht="15" customHeight="1">
      <c r="B178" s="422"/>
      <c r="C178" s="417"/>
      <c r="D178" s="417"/>
      <c r="E178" s="417"/>
      <c r="F178" s="417"/>
      <c r="G178" s="417"/>
      <c r="H178" s="417"/>
      <c r="I178" s="417"/>
      <c r="J178" s="417"/>
      <c r="K178" s="417"/>
      <c r="L178" s="417"/>
      <c r="M178" s="417"/>
      <c r="N178" s="417"/>
      <c r="O178" s="417"/>
    </row>
    <row r="179" spans="2:15" s="416" customFormat="1" ht="15" customHeight="1">
      <c r="B179" s="422"/>
      <c r="C179" s="417"/>
      <c r="D179" s="417"/>
      <c r="E179" s="417"/>
      <c r="F179" s="417"/>
      <c r="G179" s="417"/>
      <c r="H179" s="417"/>
      <c r="I179" s="417"/>
      <c r="J179" s="417"/>
      <c r="K179" s="417"/>
      <c r="L179" s="417"/>
      <c r="M179" s="417"/>
      <c r="N179" s="417"/>
      <c r="O179" s="417"/>
    </row>
    <row r="180" spans="2:15" s="416" customFormat="1" ht="15" customHeight="1">
      <c r="B180" s="422"/>
      <c r="C180" s="417"/>
      <c r="D180" s="417"/>
      <c r="E180" s="417"/>
      <c r="F180" s="417"/>
      <c r="G180" s="417"/>
      <c r="H180" s="417"/>
      <c r="I180" s="417"/>
      <c r="J180" s="417"/>
      <c r="K180" s="417"/>
      <c r="L180" s="417"/>
      <c r="M180" s="417"/>
      <c r="N180" s="417"/>
      <c r="O180" s="417"/>
    </row>
    <row r="181" spans="2:15" s="416" customFormat="1" ht="15" customHeight="1">
      <c r="B181" s="422"/>
      <c r="C181" s="417"/>
      <c r="D181" s="417"/>
      <c r="E181" s="417"/>
      <c r="F181" s="417"/>
      <c r="G181" s="417"/>
      <c r="H181" s="417"/>
      <c r="I181" s="417"/>
      <c r="J181" s="417"/>
      <c r="K181" s="417"/>
      <c r="L181" s="417"/>
      <c r="M181" s="417"/>
      <c r="N181" s="417"/>
      <c r="O181" s="417"/>
    </row>
    <row r="182" spans="2:15" s="416" customFormat="1" ht="15" customHeight="1">
      <c r="B182" s="422"/>
      <c r="C182" s="417"/>
      <c r="D182" s="417"/>
      <c r="E182" s="417"/>
      <c r="F182" s="417"/>
      <c r="G182" s="417"/>
      <c r="H182" s="417"/>
      <c r="I182" s="417"/>
      <c r="J182" s="417"/>
      <c r="K182" s="417"/>
      <c r="L182" s="417"/>
      <c r="M182" s="417"/>
      <c r="N182" s="417"/>
      <c r="O182" s="417"/>
    </row>
    <row r="183" spans="2:15" s="416" customFormat="1" ht="15" customHeight="1">
      <c r="B183" s="422"/>
      <c r="C183" s="417"/>
      <c r="D183" s="417"/>
      <c r="E183" s="417"/>
      <c r="F183" s="417"/>
      <c r="G183" s="417"/>
      <c r="H183" s="417"/>
      <c r="I183" s="417"/>
      <c r="J183" s="417"/>
      <c r="K183" s="417"/>
      <c r="L183" s="417"/>
      <c r="M183" s="417"/>
      <c r="N183" s="417"/>
      <c r="O183" s="417"/>
    </row>
    <row r="184" spans="2:15" s="416" customFormat="1" ht="15" customHeight="1">
      <c r="B184" s="422"/>
      <c r="C184" s="417"/>
      <c r="D184" s="417"/>
      <c r="E184" s="417"/>
      <c r="F184" s="417"/>
      <c r="G184" s="417"/>
      <c r="H184" s="417"/>
      <c r="I184" s="417"/>
      <c r="J184" s="417"/>
      <c r="K184" s="417"/>
      <c r="L184" s="417"/>
      <c r="M184" s="417"/>
      <c r="N184" s="417"/>
      <c r="O184" s="417"/>
    </row>
    <row r="185" spans="2:15" s="416" customFormat="1" ht="15" customHeight="1">
      <c r="B185" s="422"/>
      <c r="C185" s="417"/>
      <c r="D185" s="417"/>
      <c r="E185" s="417"/>
      <c r="F185" s="417"/>
      <c r="G185" s="417"/>
      <c r="H185" s="417"/>
      <c r="I185" s="417"/>
      <c r="J185" s="417"/>
      <c r="K185" s="417"/>
      <c r="L185" s="417"/>
      <c r="M185" s="417"/>
      <c r="N185" s="417"/>
      <c r="O185" s="417"/>
    </row>
    <row r="186" spans="2:15" s="416" customFormat="1" ht="15" customHeight="1">
      <c r="B186" s="422"/>
      <c r="C186" s="417"/>
      <c r="D186" s="417"/>
      <c r="E186" s="417"/>
      <c r="F186" s="417"/>
      <c r="G186" s="417"/>
      <c r="H186" s="417"/>
      <c r="I186" s="417"/>
      <c r="J186" s="417"/>
      <c r="K186" s="417"/>
      <c r="L186" s="417"/>
      <c r="M186" s="417"/>
      <c r="N186" s="417"/>
      <c r="O186" s="417"/>
    </row>
    <row r="187" spans="2:15" s="416" customFormat="1" ht="15" customHeight="1">
      <c r="B187" s="422"/>
      <c r="C187" s="417"/>
      <c r="D187" s="417"/>
      <c r="E187" s="417"/>
      <c r="F187" s="417"/>
      <c r="G187" s="417"/>
      <c r="H187" s="417"/>
      <c r="I187" s="417"/>
      <c r="J187" s="417"/>
      <c r="K187" s="417"/>
      <c r="L187" s="417"/>
      <c r="M187" s="417"/>
      <c r="N187" s="417"/>
      <c r="O187" s="417"/>
    </row>
    <row r="188" spans="2:15" s="416" customFormat="1" ht="15" customHeight="1">
      <c r="B188" s="422"/>
      <c r="C188" s="417"/>
      <c r="D188" s="417"/>
      <c r="E188" s="417"/>
      <c r="F188" s="417"/>
      <c r="G188" s="417"/>
      <c r="H188" s="417"/>
      <c r="I188" s="417"/>
      <c r="J188" s="417"/>
      <c r="K188" s="417"/>
      <c r="L188" s="417"/>
      <c r="M188" s="417"/>
      <c r="N188" s="417"/>
      <c r="O188" s="417"/>
    </row>
    <row r="189" spans="2:15" s="416" customFormat="1" ht="15" customHeight="1">
      <c r="B189" s="422"/>
      <c r="C189" s="417"/>
      <c r="D189" s="417"/>
      <c r="E189" s="417"/>
      <c r="F189" s="417"/>
      <c r="G189" s="417"/>
      <c r="H189" s="417"/>
      <c r="I189" s="417"/>
      <c r="J189" s="417"/>
      <c r="K189" s="417"/>
      <c r="L189" s="417"/>
      <c r="M189" s="417"/>
      <c r="N189" s="417"/>
      <c r="O189" s="417"/>
    </row>
    <row r="190" spans="2:15" s="416" customFormat="1" ht="15" customHeight="1">
      <c r="B190" s="422"/>
      <c r="C190" s="417"/>
      <c r="D190" s="417"/>
      <c r="E190" s="417"/>
      <c r="F190" s="417"/>
      <c r="G190" s="417"/>
      <c r="H190" s="417"/>
      <c r="I190" s="417"/>
      <c r="J190" s="417"/>
      <c r="K190" s="417"/>
      <c r="L190" s="417"/>
      <c r="M190" s="417"/>
      <c r="N190" s="417"/>
      <c r="O190" s="417"/>
    </row>
    <row r="191" spans="2:15" s="416" customFormat="1" ht="15" customHeight="1">
      <c r="B191" s="422"/>
      <c r="C191" s="417"/>
      <c r="D191" s="417"/>
      <c r="E191" s="417"/>
      <c r="F191" s="417"/>
      <c r="G191" s="417"/>
      <c r="H191" s="417"/>
      <c r="I191" s="417"/>
      <c r="J191" s="417"/>
      <c r="K191" s="417"/>
      <c r="L191" s="417"/>
      <c r="M191" s="417"/>
      <c r="N191" s="417"/>
      <c r="O191" s="417"/>
    </row>
    <row r="192" spans="2:15" s="416" customFormat="1" ht="15" customHeight="1">
      <c r="B192" s="422"/>
      <c r="C192" s="417"/>
      <c r="D192" s="417"/>
      <c r="E192" s="417"/>
      <c r="F192" s="417"/>
      <c r="G192" s="417"/>
      <c r="H192" s="417"/>
      <c r="I192" s="417"/>
      <c r="J192" s="417"/>
      <c r="K192" s="417"/>
      <c r="L192" s="417"/>
      <c r="M192" s="417"/>
      <c r="N192" s="417"/>
      <c r="O192" s="417"/>
    </row>
    <row r="193" spans="2:15" s="416" customFormat="1" ht="15" customHeight="1">
      <c r="B193" s="422"/>
      <c r="C193" s="417"/>
      <c r="D193" s="417"/>
      <c r="E193" s="417"/>
      <c r="F193" s="417"/>
      <c r="G193" s="417"/>
      <c r="H193" s="417"/>
      <c r="I193" s="417"/>
      <c r="J193" s="417"/>
      <c r="K193" s="417"/>
      <c r="L193" s="417"/>
      <c r="M193" s="417"/>
      <c r="N193" s="417"/>
      <c r="O193" s="417"/>
    </row>
    <row r="194" spans="2:15" s="416" customFormat="1" ht="15" customHeight="1">
      <c r="B194" s="422"/>
      <c r="C194" s="417"/>
      <c r="D194" s="417"/>
      <c r="E194" s="417"/>
      <c r="F194" s="417"/>
      <c r="G194" s="417"/>
      <c r="H194" s="417"/>
      <c r="I194" s="417"/>
      <c r="J194" s="417"/>
      <c r="K194" s="417"/>
      <c r="L194" s="417"/>
      <c r="M194" s="417"/>
      <c r="N194" s="417"/>
      <c r="O194" s="417"/>
    </row>
    <row r="195" spans="2:15" s="416" customFormat="1" ht="15" customHeight="1">
      <c r="B195" s="422"/>
      <c r="C195" s="417"/>
      <c r="D195" s="417"/>
      <c r="E195" s="417"/>
      <c r="F195" s="417"/>
      <c r="G195" s="417"/>
      <c r="H195" s="417"/>
      <c r="I195" s="417"/>
      <c r="J195" s="417"/>
      <c r="K195" s="417"/>
      <c r="L195" s="417"/>
      <c r="M195" s="417"/>
      <c r="N195" s="417"/>
      <c r="O195" s="417"/>
    </row>
    <row r="196" spans="2:15" s="416" customFormat="1" ht="15" customHeight="1">
      <c r="B196" s="422"/>
      <c r="C196" s="417"/>
      <c r="D196" s="417"/>
      <c r="E196" s="417"/>
      <c r="F196" s="417"/>
      <c r="G196" s="417"/>
      <c r="H196" s="417"/>
      <c r="I196" s="417"/>
      <c r="J196" s="417"/>
      <c r="K196" s="417"/>
      <c r="L196" s="417"/>
      <c r="M196" s="417"/>
      <c r="N196" s="417"/>
      <c r="O196" s="417"/>
    </row>
    <row r="197" spans="2:15" s="416" customFormat="1" ht="15" customHeight="1">
      <c r="B197" s="422"/>
      <c r="C197" s="417"/>
      <c r="D197" s="417"/>
      <c r="E197" s="417"/>
      <c r="F197" s="417"/>
      <c r="G197" s="417"/>
      <c r="H197" s="417"/>
      <c r="I197" s="417"/>
      <c r="J197" s="417"/>
      <c r="K197" s="417"/>
      <c r="L197" s="417"/>
      <c r="M197" s="417"/>
      <c r="N197" s="417"/>
      <c r="O197" s="417"/>
    </row>
    <row r="198" spans="2:15" s="416" customFormat="1" ht="15" customHeight="1">
      <c r="B198" s="422"/>
      <c r="C198" s="417"/>
      <c r="D198" s="417"/>
      <c r="E198" s="417"/>
      <c r="F198" s="417"/>
      <c r="G198" s="417"/>
      <c r="H198" s="417"/>
      <c r="I198" s="417"/>
      <c r="J198" s="417"/>
      <c r="K198" s="417"/>
      <c r="L198" s="417"/>
      <c r="M198" s="417"/>
      <c r="N198" s="417"/>
      <c r="O198" s="417"/>
    </row>
    <row r="199" spans="2:15" s="416" customFormat="1" ht="15" customHeight="1">
      <c r="B199" s="422"/>
      <c r="C199" s="417"/>
      <c r="D199" s="417"/>
      <c r="E199" s="417"/>
      <c r="F199" s="417"/>
      <c r="G199" s="417"/>
      <c r="H199" s="417"/>
      <c r="I199" s="417"/>
      <c r="J199" s="417"/>
      <c r="K199" s="417"/>
      <c r="L199" s="417"/>
      <c r="M199" s="417"/>
      <c r="N199" s="417"/>
      <c r="O199" s="417"/>
    </row>
    <row r="200" spans="2:15" s="416" customFormat="1" ht="15" customHeight="1">
      <c r="B200" s="422"/>
      <c r="C200" s="417"/>
      <c r="D200" s="417"/>
      <c r="E200" s="417"/>
      <c r="F200" s="417"/>
      <c r="G200" s="417"/>
      <c r="H200" s="417"/>
      <c r="I200" s="417"/>
      <c r="J200" s="417"/>
      <c r="K200" s="417"/>
      <c r="L200" s="417"/>
      <c r="M200" s="417"/>
      <c r="N200" s="417"/>
      <c r="O200" s="417"/>
    </row>
    <row r="201" spans="2:15" s="416" customFormat="1" ht="15" customHeight="1">
      <c r="B201" s="422"/>
      <c r="C201" s="417"/>
      <c r="D201" s="417"/>
      <c r="E201" s="417"/>
      <c r="F201" s="417"/>
      <c r="G201" s="417"/>
      <c r="H201" s="417"/>
      <c r="I201" s="417"/>
      <c r="J201" s="417"/>
      <c r="K201" s="417"/>
      <c r="L201" s="417"/>
      <c r="M201" s="417"/>
      <c r="N201" s="417"/>
      <c r="O201" s="417"/>
    </row>
    <row r="202" spans="2:15" s="416" customFormat="1" ht="15" customHeight="1">
      <c r="B202" s="422"/>
      <c r="C202" s="417"/>
      <c r="D202" s="417"/>
      <c r="E202" s="417"/>
      <c r="F202" s="417"/>
      <c r="G202" s="417"/>
      <c r="H202" s="417"/>
      <c r="I202" s="417"/>
      <c r="J202" s="417"/>
      <c r="K202" s="417"/>
      <c r="L202" s="417"/>
      <c r="M202" s="417"/>
      <c r="N202" s="417"/>
      <c r="O202" s="417"/>
    </row>
    <row r="203" spans="2:15" s="416" customFormat="1" ht="15" customHeight="1">
      <c r="B203" s="422"/>
      <c r="C203" s="417"/>
      <c r="D203" s="417"/>
      <c r="E203" s="417"/>
      <c r="F203" s="417"/>
      <c r="G203" s="417"/>
      <c r="H203" s="417"/>
      <c r="I203" s="417"/>
      <c r="J203" s="417"/>
      <c r="K203" s="417"/>
      <c r="L203" s="417"/>
      <c r="M203" s="417"/>
      <c r="N203" s="417"/>
      <c r="O203" s="417"/>
    </row>
    <row r="204" spans="2:15" s="416" customFormat="1" ht="15" customHeight="1">
      <c r="B204" s="422"/>
      <c r="C204" s="417"/>
      <c r="D204" s="417"/>
      <c r="E204" s="417"/>
      <c r="F204" s="417"/>
      <c r="G204" s="417"/>
      <c r="H204" s="417"/>
      <c r="I204" s="417"/>
      <c r="J204" s="417"/>
      <c r="K204" s="417"/>
      <c r="L204" s="417"/>
      <c r="M204" s="417"/>
      <c r="N204" s="417"/>
      <c r="O204" s="417"/>
    </row>
    <row r="205" spans="2:15" s="416" customFormat="1" ht="15" customHeight="1">
      <c r="B205" s="422"/>
      <c r="C205" s="417"/>
      <c r="D205" s="417"/>
      <c r="E205" s="417"/>
      <c r="F205" s="417"/>
      <c r="G205" s="417"/>
      <c r="H205" s="417"/>
      <c r="I205" s="417"/>
      <c r="J205" s="417"/>
      <c r="K205" s="417"/>
      <c r="L205" s="417"/>
      <c r="M205" s="417"/>
      <c r="N205" s="417"/>
      <c r="O205" s="417"/>
    </row>
    <row r="206" spans="2:15" s="416" customFormat="1" ht="15" customHeight="1">
      <c r="B206" s="422"/>
      <c r="C206" s="417"/>
      <c r="D206" s="417"/>
      <c r="E206" s="417"/>
      <c r="F206" s="417"/>
      <c r="G206" s="417"/>
      <c r="H206" s="417"/>
      <c r="I206" s="417"/>
      <c r="J206" s="417"/>
      <c r="K206" s="417"/>
      <c r="L206" s="417"/>
      <c r="M206" s="417"/>
      <c r="N206" s="417"/>
      <c r="O206" s="417"/>
    </row>
    <row r="207" spans="2:15" s="416" customFormat="1" ht="15" customHeight="1">
      <c r="B207" s="422"/>
      <c r="C207" s="417"/>
      <c r="D207" s="417"/>
      <c r="E207" s="417"/>
      <c r="F207" s="417"/>
      <c r="G207" s="417"/>
      <c r="H207" s="417"/>
      <c r="I207" s="417"/>
      <c r="J207" s="417"/>
      <c r="K207" s="417"/>
      <c r="L207" s="417"/>
      <c r="M207" s="417"/>
      <c r="N207" s="417"/>
      <c r="O207" s="417"/>
    </row>
    <row r="208" spans="2:15" s="416" customFormat="1" ht="15" customHeight="1">
      <c r="B208" s="422"/>
      <c r="C208" s="417"/>
      <c r="D208" s="417"/>
      <c r="E208" s="417"/>
      <c r="F208" s="417"/>
      <c r="G208" s="417"/>
      <c r="H208" s="417"/>
      <c r="I208" s="417"/>
      <c r="J208" s="417"/>
      <c r="K208" s="417"/>
      <c r="L208" s="417"/>
      <c r="M208" s="417"/>
      <c r="N208" s="417"/>
      <c r="O208" s="417"/>
    </row>
    <row r="209" spans="2:15" s="416" customFormat="1" ht="15" customHeight="1">
      <c r="B209" s="422"/>
      <c r="C209" s="417"/>
      <c r="D209" s="417"/>
      <c r="E209" s="417"/>
      <c r="F209" s="417"/>
      <c r="G209" s="417"/>
      <c r="H209" s="417"/>
      <c r="I209" s="417"/>
      <c r="J209" s="417"/>
      <c r="K209" s="417"/>
      <c r="L209" s="417"/>
      <c r="M209" s="417"/>
      <c r="N209" s="417"/>
      <c r="O209" s="417"/>
    </row>
    <row r="210" spans="2:15" s="416" customFormat="1" ht="15" customHeight="1">
      <c r="B210" s="422"/>
      <c r="C210" s="417"/>
      <c r="D210" s="417"/>
      <c r="E210" s="417"/>
      <c r="F210" s="417"/>
      <c r="G210" s="417"/>
      <c r="H210" s="417"/>
      <c r="I210" s="417"/>
      <c r="J210" s="417"/>
      <c r="K210" s="417"/>
      <c r="L210" s="417"/>
      <c r="M210" s="417"/>
      <c r="N210" s="417"/>
      <c r="O210" s="417"/>
    </row>
    <row r="211" spans="2:15" s="416" customFormat="1" ht="15" customHeight="1">
      <c r="B211" s="422"/>
      <c r="C211" s="417"/>
      <c r="D211" s="417"/>
      <c r="E211" s="417"/>
      <c r="F211" s="417"/>
      <c r="G211" s="417"/>
      <c r="H211" s="417"/>
      <c r="I211" s="417"/>
      <c r="J211" s="417"/>
      <c r="K211" s="417"/>
      <c r="L211" s="417"/>
      <c r="M211" s="417"/>
      <c r="N211" s="417"/>
      <c r="O211" s="417"/>
    </row>
    <row r="212" spans="2:15" s="416" customFormat="1" ht="15" customHeight="1">
      <c r="B212" s="422"/>
      <c r="C212" s="417"/>
      <c r="D212" s="417"/>
      <c r="E212" s="417"/>
      <c r="F212" s="417"/>
      <c r="G212" s="417"/>
      <c r="H212" s="417"/>
      <c r="I212" s="417"/>
      <c r="J212" s="417"/>
      <c r="K212" s="417"/>
      <c r="L212" s="417"/>
      <c r="M212" s="417"/>
      <c r="N212" s="417"/>
      <c r="O212" s="417"/>
    </row>
    <row r="213" spans="2:15" s="416" customFormat="1" ht="15" customHeight="1">
      <c r="B213" s="422"/>
      <c r="C213" s="417"/>
      <c r="D213" s="417"/>
      <c r="E213" s="417"/>
      <c r="F213" s="417"/>
      <c r="G213" s="417"/>
      <c r="H213" s="417"/>
      <c r="I213" s="417"/>
      <c r="J213" s="417"/>
      <c r="K213" s="417"/>
      <c r="L213" s="417"/>
      <c r="M213" s="417"/>
      <c r="N213" s="417"/>
      <c r="O213" s="417"/>
    </row>
    <row r="214" spans="2:15" s="416" customFormat="1" ht="15" customHeight="1">
      <c r="B214" s="422"/>
      <c r="C214" s="417"/>
      <c r="D214" s="417"/>
      <c r="E214" s="417"/>
      <c r="F214" s="417"/>
      <c r="G214" s="417"/>
      <c r="H214" s="417"/>
      <c r="I214" s="417"/>
      <c r="J214" s="417"/>
      <c r="K214" s="417"/>
      <c r="L214" s="417"/>
      <c r="M214" s="417"/>
      <c r="N214" s="417"/>
      <c r="O214" s="417"/>
    </row>
    <row r="215" spans="2:15" s="416" customFormat="1" ht="15" customHeight="1">
      <c r="B215" s="422"/>
      <c r="C215" s="417"/>
      <c r="D215" s="417"/>
      <c r="E215" s="417"/>
      <c r="F215" s="417"/>
      <c r="G215" s="417"/>
      <c r="H215" s="417"/>
      <c r="I215" s="417"/>
      <c r="J215" s="417"/>
      <c r="K215" s="417"/>
      <c r="L215" s="417"/>
      <c r="M215" s="417"/>
      <c r="N215" s="417"/>
      <c r="O215" s="417"/>
    </row>
    <row r="216" spans="2:15" s="416" customFormat="1" ht="15" customHeight="1">
      <c r="B216" s="422"/>
      <c r="C216" s="417"/>
      <c r="D216" s="417"/>
      <c r="E216" s="417"/>
      <c r="F216" s="417"/>
      <c r="G216" s="417"/>
      <c r="H216" s="417"/>
      <c r="I216" s="417"/>
      <c r="J216" s="417"/>
      <c r="K216" s="417"/>
      <c r="L216" s="417"/>
      <c r="M216" s="417"/>
      <c r="N216" s="417"/>
      <c r="O216" s="417"/>
    </row>
    <row r="217" spans="2:15" s="416" customFormat="1" ht="15" customHeight="1">
      <c r="B217" s="422"/>
      <c r="C217" s="417"/>
      <c r="D217" s="417"/>
      <c r="E217" s="417"/>
      <c r="F217" s="417"/>
      <c r="G217" s="417"/>
      <c r="H217" s="417"/>
      <c r="I217" s="417"/>
      <c r="J217" s="417"/>
      <c r="K217" s="417"/>
      <c r="L217" s="417"/>
      <c r="M217" s="417"/>
      <c r="N217" s="417"/>
      <c r="O217" s="417"/>
    </row>
    <row r="218" spans="2:15" s="416" customFormat="1" ht="15" customHeight="1">
      <c r="B218" s="422"/>
      <c r="C218" s="417"/>
      <c r="D218" s="417"/>
      <c r="E218" s="417"/>
      <c r="F218" s="417"/>
      <c r="G218" s="417"/>
      <c r="H218" s="417"/>
      <c r="I218" s="417"/>
      <c r="J218" s="417"/>
      <c r="K218" s="417"/>
      <c r="L218" s="417"/>
      <c r="M218" s="417"/>
      <c r="N218" s="417"/>
      <c r="O218" s="417"/>
    </row>
    <row r="219" spans="2:15" s="416" customFormat="1" ht="15" customHeight="1">
      <c r="B219" s="422"/>
      <c r="C219" s="417"/>
      <c r="D219" s="417"/>
      <c r="E219" s="417"/>
      <c r="F219" s="417"/>
      <c r="G219" s="417"/>
      <c r="H219" s="417"/>
      <c r="I219" s="417"/>
      <c r="J219" s="417"/>
      <c r="K219" s="417"/>
      <c r="L219" s="417"/>
      <c r="M219" s="417"/>
      <c r="N219" s="417"/>
      <c r="O219" s="417"/>
    </row>
    <row r="220" spans="2:15" s="416" customFormat="1" ht="15" customHeight="1">
      <c r="B220" s="422"/>
      <c r="C220" s="417"/>
      <c r="D220" s="417"/>
      <c r="E220" s="417"/>
      <c r="F220" s="417"/>
      <c r="G220" s="417"/>
      <c r="H220" s="417"/>
      <c r="I220" s="417"/>
      <c r="J220" s="417"/>
      <c r="K220" s="417"/>
      <c r="L220" s="417"/>
      <c r="M220" s="417"/>
      <c r="N220" s="417"/>
      <c r="O220" s="417"/>
    </row>
    <row r="221" spans="2:15" s="416" customFormat="1" ht="15" customHeight="1">
      <c r="B221" s="422"/>
      <c r="C221" s="417"/>
      <c r="D221" s="417"/>
      <c r="E221" s="417"/>
      <c r="F221" s="417"/>
      <c r="G221" s="417"/>
      <c r="H221" s="417"/>
      <c r="I221" s="417"/>
      <c r="J221" s="417"/>
      <c r="K221" s="417"/>
      <c r="L221" s="417"/>
      <c r="M221" s="417"/>
      <c r="N221" s="417"/>
      <c r="O221" s="417"/>
    </row>
    <row r="222" spans="2:15" s="416" customFormat="1" ht="15" customHeight="1">
      <c r="B222" s="422"/>
      <c r="C222" s="417"/>
      <c r="D222" s="417"/>
      <c r="E222" s="417"/>
      <c r="F222" s="417"/>
      <c r="G222" s="417"/>
      <c r="H222" s="417"/>
      <c r="I222" s="417"/>
      <c r="J222" s="417"/>
      <c r="K222" s="417"/>
      <c r="L222" s="417"/>
      <c r="M222" s="417"/>
      <c r="N222" s="417"/>
      <c r="O222" s="417"/>
    </row>
    <row r="223" spans="2:15" s="416" customFormat="1" ht="15" customHeight="1">
      <c r="B223" s="422"/>
      <c r="C223" s="417"/>
      <c r="D223" s="417"/>
      <c r="E223" s="417"/>
      <c r="F223" s="417"/>
      <c r="G223" s="417"/>
      <c r="H223" s="417"/>
      <c r="I223" s="417"/>
      <c r="J223" s="417"/>
      <c r="K223" s="417"/>
      <c r="L223" s="417"/>
      <c r="M223" s="417"/>
      <c r="N223" s="417"/>
      <c r="O223" s="417"/>
    </row>
    <row r="224" spans="2:15" s="416" customFormat="1" ht="15" customHeight="1">
      <c r="B224" s="422"/>
      <c r="C224" s="417"/>
      <c r="D224" s="417"/>
      <c r="E224" s="417"/>
      <c r="F224" s="417"/>
      <c r="G224" s="417"/>
      <c r="H224" s="417"/>
      <c r="I224" s="417"/>
      <c r="J224" s="417"/>
      <c r="K224" s="417"/>
      <c r="L224" s="417"/>
      <c r="M224" s="417"/>
      <c r="N224" s="417"/>
      <c r="O224" s="417"/>
    </row>
    <row r="225" spans="2:15" s="416" customFormat="1" ht="15" customHeight="1">
      <c r="B225" s="422"/>
      <c r="C225" s="417"/>
      <c r="D225" s="417"/>
      <c r="E225" s="417"/>
      <c r="F225" s="417"/>
      <c r="G225" s="417"/>
      <c r="H225" s="417"/>
      <c r="I225" s="417"/>
      <c r="J225" s="417"/>
      <c r="K225" s="417"/>
      <c r="L225" s="417"/>
      <c r="M225" s="417"/>
      <c r="N225" s="417"/>
      <c r="O225" s="417"/>
    </row>
    <row r="226" spans="2:15" s="416" customFormat="1" ht="15" customHeight="1">
      <c r="B226" s="422"/>
      <c r="C226" s="417"/>
      <c r="D226" s="417"/>
      <c r="E226" s="417"/>
      <c r="F226" s="417"/>
      <c r="G226" s="417"/>
      <c r="H226" s="417"/>
      <c r="I226" s="417"/>
      <c r="J226" s="417"/>
      <c r="K226" s="417"/>
      <c r="L226" s="417"/>
      <c r="M226" s="417"/>
      <c r="N226" s="417"/>
      <c r="O226" s="417"/>
    </row>
    <row r="227" spans="2:15" s="416" customFormat="1" ht="15" customHeight="1">
      <c r="B227" s="422"/>
      <c r="C227" s="417"/>
      <c r="D227" s="417"/>
      <c r="E227" s="417"/>
      <c r="F227" s="417"/>
      <c r="G227" s="417"/>
      <c r="H227" s="417"/>
      <c r="I227" s="417"/>
      <c r="J227" s="417"/>
      <c r="K227" s="417"/>
      <c r="L227" s="417"/>
      <c r="M227" s="417"/>
      <c r="N227" s="417"/>
      <c r="O227" s="417"/>
    </row>
    <row r="228" spans="2:15" s="416" customFormat="1" ht="15" customHeight="1">
      <c r="B228" s="422"/>
      <c r="C228" s="417"/>
      <c r="D228" s="417"/>
      <c r="E228" s="417"/>
      <c r="F228" s="417"/>
      <c r="G228" s="417"/>
      <c r="H228" s="417"/>
      <c r="I228" s="417"/>
      <c r="J228" s="417"/>
      <c r="K228" s="417"/>
      <c r="L228" s="417"/>
      <c r="M228" s="417"/>
      <c r="N228" s="417"/>
      <c r="O228" s="417"/>
    </row>
    <row r="229" spans="2:15" s="416" customFormat="1" ht="15" customHeight="1">
      <c r="B229" s="422"/>
      <c r="C229" s="417"/>
      <c r="D229" s="417"/>
      <c r="E229" s="417"/>
      <c r="F229" s="417"/>
      <c r="G229" s="417"/>
      <c r="H229" s="417"/>
      <c r="I229" s="417"/>
      <c r="J229" s="417"/>
      <c r="K229" s="417"/>
      <c r="L229" s="417"/>
      <c r="M229" s="417"/>
      <c r="N229" s="417"/>
      <c r="O229" s="417"/>
    </row>
    <row r="230" spans="2:15" s="416" customFormat="1" ht="15" customHeight="1">
      <c r="B230" s="422"/>
      <c r="C230" s="417"/>
      <c r="D230" s="417"/>
      <c r="E230" s="417"/>
      <c r="F230" s="417"/>
      <c r="G230" s="417"/>
      <c r="H230" s="417"/>
      <c r="I230" s="417"/>
      <c r="J230" s="417"/>
      <c r="K230" s="417"/>
      <c r="L230" s="417"/>
      <c r="M230" s="417"/>
      <c r="N230" s="417"/>
      <c r="O230" s="417"/>
    </row>
    <row r="231" spans="2:15" s="416" customFormat="1" ht="15" customHeight="1">
      <c r="B231" s="422"/>
      <c r="C231" s="417"/>
      <c r="D231" s="417"/>
      <c r="E231" s="417"/>
      <c r="F231" s="417"/>
      <c r="G231" s="417"/>
      <c r="H231" s="417"/>
      <c r="I231" s="417"/>
      <c r="J231" s="417"/>
      <c r="K231" s="417"/>
      <c r="L231" s="417"/>
      <c r="M231" s="417"/>
      <c r="N231" s="417"/>
      <c r="O231" s="417"/>
    </row>
    <row r="232" spans="2:15" s="416" customFormat="1" ht="15" customHeight="1">
      <c r="B232" s="422"/>
      <c r="C232" s="417"/>
      <c r="D232" s="417"/>
      <c r="E232" s="417"/>
      <c r="F232" s="417"/>
      <c r="G232" s="417"/>
      <c r="H232" s="417"/>
      <c r="I232" s="417"/>
      <c r="J232" s="417"/>
      <c r="K232" s="417"/>
      <c r="L232" s="417"/>
      <c r="M232" s="417"/>
      <c r="N232" s="417"/>
      <c r="O232" s="417"/>
    </row>
    <row r="233" spans="2:15" s="416" customFormat="1" ht="15" customHeight="1">
      <c r="B233" s="422"/>
      <c r="C233" s="417"/>
      <c r="D233" s="417"/>
      <c r="E233" s="417"/>
      <c r="F233" s="417"/>
      <c r="G233" s="417"/>
      <c r="H233" s="417"/>
      <c r="I233" s="417"/>
      <c r="J233" s="417"/>
      <c r="K233" s="417"/>
      <c r="L233" s="417"/>
      <c r="M233" s="417"/>
      <c r="N233" s="417"/>
      <c r="O233" s="417"/>
    </row>
    <row r="234" spans="2:15" s="416" customFormat="1" ht="15" customHeight="1">
      <c r="B234" s="422"/>
      <c r="C234" s="417"/>
      <c r="D234" s="417"/>
      <c r="E234" s="417"/>
      <c r="F234" s="417"/>
      <c r="G234" s="417"/>
      <c r="H234" s="417"/>
      <c r="I234" s="417"/>
      <c r="J234" s="417"/>
      <c r="K234" s="417"/>
      <c r="L234" s="417"/>
      <c r="M234" s="417"/>
      <c r="N234" s="417"/>
      <c r="O234" s="417"/>
    </row>
    <row r="235" spans="2:15" s="416" customFormat="1" ht="15" customHeight="1">
      <c r="B235" s="422"/>
      <c r="C235" s="417"/>
      <c r="D235" s="417"/>
      <c r="E235" s="417"/>
      <c r="F235" s="417"/>
      <c r="G235" s="417"/>
      <c r="H235" s="417"/>
      <c r="I235" s="417"/>
      <c r="J235" s="417"/>
      <c r="K235" s="417"/>
      <c r="L235" s="417"/>
      <c r="M235" s="417"/>
      <c r="N235" s="417"/>
      <c r="O235" s="417"/>
    </row>
    <row r="236" spans="2:15" s="416" customFormat="1" ht="15" customHeight="1">
      <c r="B236" s="422"/>
      <c r="C236" s="417"/>
      <c r="D236" s="417"/>
      <c r="E236" s="417"/>
      <c r="F236" s="417"/>
      <c r="G236" s="417"/>
      <c r="H236" s="417"/>
      <c r="I236" s="417"/>
      <c r="J236" s="417"/>
      <c r="K236" s="417"/>
      <c r="L236" s="417"/>
      <c r="M236" s="417"/>
      <c r="N236" s="417"/>
      <c r="O236" s="417"/>
    </row>
    <row r="237" spans="2:15" s="416" customFormat="1" ht="15" customHeight="1">
      <c r="B237" s="422"/>
      <c r="C237" s="417"/>
      <c r="D237" s="417"/>
      <c r="E237" s="417"/>
      <c r="F237" s="417"/>
      <c r="G237" s="417"/>
      <c r="H237" s="417"/>
      <c r="I237" s="417"/>
      <c r="J237" s="417"/>
      <c r="K237" s="417"/>
      <c r="L237" s="417"/>
      <c r="M237" s="417"/>
      <c r="N237" s="417"/>
      <c r="O237" s="417"/>
    </row>
    <row r="238" spans="2:15" s="416" customFormat="1" ht="15" customHeight="1">
      <c r="B238" s="422"/>
      <c r="C238" s="417"/>
      <c r="D238" s="417"/>
      <c r="E238" s="417"/>
      <c r="F238" s="417"/>
      <c r="G238" s="417"/>
      <c r="H238" s="417"/>
      <c r="I238" s="417"/>
      <c r="J238" s="417"/>
      <c r="K238" s="417"/>
      <c r="L238" s="417"/>
      <c r="M238" s="417"/>
      <c r="N238" s="417"/>
      <c r="O238" s="417"/>
    </row>
    <row r="239" spans="2:15" s="416" customFormat="1" ht="15" customHeight="1">
      <c r="B239" s="422"/>
      <c r="C239" s="417"/>
      <c r="D239" s="417"/>
      <c r="E239" s="417"/>
      <c r="F239" s="417"/>
      <c r="G239" s="417"/>
      <c r="H239" s="417"/>
      <c r="I239" s="417"/>
      <c r="J239" s="417"/>
      <c r="K239" s="417"/>
      <c r="L239" s="417"/>
      <c r="M239" s="417"/>
      <c r="N239" s="417"/>
      <c r="O239" s="417"/>
    </row>
    <row r="240" spans="2:15" s="416" customFormat="1" ht="15" customHeight="1">
      <c r="B240" s="422"/>
      <c r="C240" s="417"/>
      <c r="D240" s="417"/>
      <c r="E240" s="417"/>
      <c r="F240" s="417"/>
      <c r="G240" s="417"/>
      <c r="H240" s="417"/>
      <c r="I240" s="417"/>
      <c r="J240" s="417"/>
      <c r="K240" s="417"/>
      <c r="L240" s="417"/>
      <c r="M240" s="417"/>
      <c r="N240" s="417"/>
      <c r="O240" s="417"/>
    </row>
    <row r="241" spans="2:15" s="416" customFormat="1" ht="15" customHeight="1">
      <c r="B241" s="422"/>
      <c r="C241" s="417"/>
      <c r="D241" s="417"/>
      <c r="E241" s="417"/>
      <c r="F241" s="417"/>
      <c r="G241" s="417"/>
      <c r="H241" s="417"/>
      <c r="I241" s="417"/>
      <c r="J241" s="417"/>
      <c r="K241" s="417"/>
      <c r="L241" s="417"/>
      <c r="M241" s="417"/>
      <c r="N241" s="417"/>
      <c r="O241" s="417"/>
    </row>
    <row r="242" spans="2:15" s="416" customFormat="1" ht="15" customHeight="1">
      <c r="B242" s="422"/>
      <c r="C242" s="417"/>
      <c r="D242" s="417"/>
      <c r="E242" s="417"/>
      <c r="F242" s="417"/>
      <c r="G242" s="417"/>
      <c r="H242" s="417"/>
      <c r="I242" s="417"/>
      <c r="J242" s="417"/>
      <c r="K242" s="417"/>
      <c r="L242" s="417"/>
      <c r="M242" s="417"/>
      <c r="N242" s="417"/>
      <c r="O242" s="417"/>
    </row>
    <row r="243" spans="2:15" s="416" customFormat="1" ht="15" customHeight="1">
      <c r="B243" s="422"/>
      <c r="C243" s="417"/>
      <c r="D243" s="417"/>
      <c r="E243" s="417"/>
      <c r="F243" s="417"/>
      <c r="G243" s="417"/>
      <c r="H243" s="417"/>
      <c r="I243" s="417"/>
      <c r="J243" s="417"/>
      <c r="K243" s="417"/>
      <c r="L243" s="417"/>
      <c r="M243" s="417"/>
      <c r="N243" s="417"/>
      <c r="O243" s="417"/>
    </row>
    <row r="244" spans="2:15" s="416" customFormat="1" ht="15" customHeight="1">
      <c r="B244" s="422"/>
      <c r="C244" s="417"/>
      <c r="D244" s="417"/>
      <c r="E244" s="417"/>
      <c r="F244" s="417"/>
      <c r="G244" s="417"/>
      <c r="H244" s="417"/>
      <c r="I244" s="417"/>
      <c r="J244" s="417"/>
      <c r="K244" s="417"/>
      <c r="L244" s="417"/>
      <c r="M244" s="417"/>
      <c r="N244" s="417"/>
      <c r="O244" s="417"/>
    </row>
    <row r="245" spans="2:15" s="416" customFormat="1" ht="15" customHeight="1">
      <c r="B245" s="422"/>
      <c r="C245" s="417"/>
      <c r="D245" s="417"/>
      <c r="E245" s="417"/>
      <c r="F245" s="417"/>
      <c r="G245" s="417"/>
      <c r="H245" s="417"/>
      <c r="I245" s="417"/>
      <c r="J245" s="417"/>
      <c r="K245" s="417"/>
      <c r="L245" s="417"/>
      <c r="M245" s="417"/>
      <c r="N245" s="417"/>
      <c r="O245" s="417"/>
    </row>
    <row r="246" spans="2:15" s="416" customFormat="1" ht="15" customHeight="1">
      <c r="B246" s="422"/>
      <c r="C246" s="417"/>
      <c r="D246" s="417"/>
      <c r="E246" s="417"/>
      <c r="F246" s="417"/>
      <c r="G246" s="417"/>
      <c r="H246" s="417"/>
      <c r="I246" s="417"/>
      <c r="J246" s="417"/>
      <c r="K246" s="417"/>
      <c r="L246" s="417"/>
      <c r="M246" s="417"/>
      <c r="N246" s="417"/>
      <c r="O246" s="417"/>
    </row>
    <row r="247" spans="2:15" s="416" customFormat="1" ht="15" customHeight="1">
      <c r="B247" s="422"/>
      <c r="C247" s="417"/>
      <c r="D247" s="417"/>
      <c r="E247" s="417"/>
      <c r="F247" s="417"/>
      <c r="G247" s="417"/>
      <c r="H247" s="417"/>
      <c r="I247" s="417"/>
      <c r="J247" s="417"/>
      <c r="K247" s="417"/>
      <c r="L247" s="417"/>
      <c r="M247" s="417"/>
      <c r="N247" s="417"/>
      <c r="O247" s="417"/>
    </row>
    <row r="248" spans="2:15" s="416" customFormat="1" ht="15" customHeight="1">
      <c r="B248" s="422"/>
      <c r="C248" s="417"/>
      <c r="D248" s="417"/>
      <c r="E248" s="417"/>
      <c r="F248" s="417"/>
      <c r="G248" s="417"/>
      <c r="H248" s="417"/>
      <c r="I248" s="417"/>
      <c r="J248" s="417"/>
      <c r="K248" s="417"/>
      <c r="L248" s="417"/>
      <c r="M248" s="417"/>
      <c r="N248" s="417"/>
      <c r="O248" s="417"/>
    </row>
    <row r="249" spans="2:15" s="416" customFormat="1" ht="15" customHeight="1">
      <c r="B249" s="422"/>
      <c r="C249" s="417"/>
      <c r="D249" s="417"/>
      <c r="E249" s="417"/>
      <c r="F249" s="417"/>
      <c r="G249" s="417"/>
      <c r="H249" s="417"/>
      <c r="I249" s="417"/>
      <c r="J249" s="417"/>
      <c r="K249" s="417"/>
      <c r="L249" s="417"/>
      <c r="M249" s="417"/>
      <c r="N249" s="417"/>
      <c r="O249" s="417"/>
    </row>
    <row r="250" spans="2:15" s="416" customFormat="1" ht="15" customHeight="1">
      <c r="B250" s="422"/>
      <c r="C250" s="417"/>
      <c r="D250" s="417"/>
      <c r="E250" s="417"/>
      <c r="F250" s="417"/>
      <c r="G250" s="417"/>
      <c r="H250" s="417"/>
      <c r="I250" s="417"/>
      <c r="J250" s="417"/>
      <c r="K250" s="417"/>
      <c r="L250" s="417"/>
      <c r="M250" s="417"/>
      <c r="N250" s="417"/>
      <c r="O250" s="417"/>
    </row>
    <row r="251" spans="2:15" s="416" customFormat="1" ht="15" customHeight="1">
      <c r="B251" s="422"/>
      <c r="C251" s="417"/>
      <c r="D251" s="417"/>
      <c r="E251" s="417"/>
      <c r="F251" s="417"/>
      <c r="G251" s="417"/>
      <c r="H251" s="417"/>
      <c r="I251" s="417"/>
      <c r="J251" s="417"/>
      <c r="K251" s="417"/>
      <c r="L251" s="417"/>
      <c r="M251" s="417"/>
      <c r="N251" s="417"/>
      <c r="O251" s="417"/>
    </row>
    <row r="252" spans="2:15" s="416" customFormat="1" ht="15" customHeight="1">
      <c r="B252" s="422"/>
      <c r="C252" s="417"/>
      <c r="D252" s="417"/>
      <c r="E252" s="417"/>
      <c r="F252" s="417"/>
      <c r="G252" s="417"/>
      <c r="H252" s="417"/>
      <c r="I252" s="417"/>
      <c r="J252" s="417"/>
      <c r="K252" s="417"/>
      <c r="L252" s="417"/>
      <c r="M252" s="417"/>
      <c r="N252" s="417"/>
      <c r="O252" s="417"/>
    </row>
    <row r="253" spans="2:15" s="416" customFormat="1" ht="15" customHeight="1">
      <c r="B253" s="422"/>
      <c r="C253" s="417"/>
      <c r="D253" s="417"/>
      <c r="E253" s="417"/>
      <c r="F253" s="417"/>
      <c r="G253" s="417"/>
      <c r="H253" s="417"/>
      <c r="I253" s="417"/>
      <c r="J253" s="417"/>
      <c r="K253" s="417"/>
      <c r="L253" s="417"/>
      <c r="M253" s="417"/>
      <c r="N253" s="417"/>
      <c r="O253" s="417"/>
    </row>
    <row r="254" spans="2:15" s="416" customFormat="1" ht="15" customHeight="1">
      <c r="B254" s="422"/>
      <c r="C254" s="417"/>
      <c r="D254" s="417"/>
      <c r="E254" s="417"/>
      <c r="F254" s="417"/>
      <c r="G254" s="417"/>
      <c r="H254" s="417"/>
      <c r="I254" s="417"/>
      <c r="J254" s="417"/>
      <c r="K254" s="417"/>
      <c r="L254" s="417"/>
      <c r="M254" s="417"/>
      <c r="N254" s="417"/>
      <c r="O254" s="417"/>
    </row>
    <row r="255" spans="2:15" s="416" customFormat="1" ht="15" customHeight="1">
      <c r="B255" s="422"/>
      <c r="C255" s="417"/>
      <c r="D255" s="417"/>
      <c r="E255" s="417"/>
      <c r="F255" s="417"/>
      <c r="G255" s="417"/>
      <c r="H255" s="417"/>
      <c r="I255" s="417"/>
      <c r="J255" s="417"/>
      <c r="K255" s="417"/>
      <c r="L255" s="417"/>
      <c r="M255" s="417"/>
      <c r="N255" s="417"/>
      <c r="O255" s="417"/>
    </row>
    <row r="256" spans="2:15" s="416" customFormat="1" ht="15" customHeight="1">
      <c r="B256" s="422"/>
      <c r="C256" s="417"/>
      <c r="D256" s="417"/>
      <c r="E256" s="417"/>
      <c r="F256" s="417"/>
      <c r="G256" s="417"/>
      <c r="H256" s="417"/>
      <c r="I256" s="417"/>
      <c r="J256" s="417"/>
      <c r="K256" s="417"/>
      <c r="L256" s="417"/>
      <c r="M256" s="417"/>
      <c r="N256" s="417"/>
      <c r="O256" s="417"/>
    </row>
    <row r="257" spans="2:15" s="416" customFormat="1" ht="15" customHeight="1">
      <c r="B257" s="422"/>
      <c r="C257" s="417"/>
      <c r="D257" s="417"/>
      <c r="E257" s="417"/>
      <c r="F257" s="417"/>
      <c r="G257" s="417"/>
      <c r="H257" s="417"/>
      <c r="I257" s="417"/>
      <c r="J257" s="417"/>
      <c r="K257" s="417"/>
      <c r="L257" s="417"/>
      <c r="M257" s="417"/>
      <c r="N257" s="417"/>
      <c r="O257" s="417"/>
    </row>
    <row r="258" spans="2:15" s="416" customFormat="1" ht="15" customHeight="1">
      <c r="B258" s="422"/>
      <c r="C258" s="417"/>
      <c r="D258" s="417"/>
      <c r="E258" s="417"/>
      <c r="F258" s="417"/>
      <c r="G258" s="417"/>
      <c r="H258" s="417"/>
      <c r="I258" s="417"/>
      <c r="J258" s="417"/>
      <c r="K258" s="417"/>
      <c r="L258" s="417"/>
      <c r="M258" s="417"/>
      <c r="N258" s="417"/>
      <c r="O258" s="417"/>
    </row>
    <row r="259" spans="2:15" s="416" customFormat="1" ht="15" customHeight="1">
      <c r="B259" s="422"/>
      <c r="C259" s="417"/>
      <c r="D259" s="417"/>
      <c r="E259" s="417"/>
      <c r="F259" s="417"/>
      <c r="G259" s="417"/>
      <c r="H259" s="417"/>
      <c r="I259" s="417"/>
      <c r="J259" s="417"/>
      <c r="K259" s="417"/>
      <c r="L259" s="417"/>
      <c r="M259" s="417"/>
      <c r="N259" s="417"/>
      <c r="O259" s="417"/>
    </row>
    <row r="260" spans="2:15" s="416" customFormat="1" ht="15" customHeight="1">
      <c r="B260" s="422"/>
      <c r="C260" s="417"/>
      <c r="D260" s="417"/>
      <c r="E260" s="417"/>
      <c r="F260" s="417"/>
      <c r="G260" s="417"/>
      <c r="H260" s="417"/>
      <c r="I260" s="417"/>
      <c r="J260" s="417"/>
      <c r="K260" s="417"/>
      <c r="L260" s="417"/>
      <c r="M260" s="417"/>
      <c r="N260" s="417"/>
      <c r="O260" s="417"/>
    </row>
    <row r="261" spans="2:15" s="416" customFormat="1" ht="15" customHeight="1">
      <c r="B261" s="422"/>
      <c r="C261" s="417"/>
      <c r="D261" s="417"/>
      <c r="E261" s="417"/>
      <c r="F261" s="417"/>
      <c r="G261" s="417"/>
      <c r="H261" s="417"/>
      <c r="I261" s="417"/>
      <c r="J261" s="417"/>
      <c r="K261" s="417"/>
      <c r="L261" s="417"/>
      <c r="M261" s="417"/>
      <c r="N261" s="417"/>
      <c r="O261" s="417"/>
    </row>
    <row r="262" spans="2:15" s="416" customFormat="1" ht="15" customHeight="1">
      <c r="B262" s="422"/>
      <c r="C262" s="417"/>
      <c r="D262" s="417"/>
      <c r="E262" s="417"/>
      <c r="F262" s="417"/>
      <c r="G262" s="417"/>
      <c r="H262" s="417"/>
      <c r="I262" s="417"/>
      <c r="J262" s="417"/>
      <c r="K262" s="417"/>
      <c r="L262" s="417"/>
      <c r="M262" s="417"/>
      <c r="N262" s="417"/>
      <c r="O262" s="417"/>
    </row>
    <row r="263" spans="2:15" s="416" customFormat="1" ht="15" customHeight="1">
      <c r="B263" s="422"/>
      <c r="C263" s="417"/>
      <c r="D263" s="417"/>
      <c r="E263" s="417"/>
      <c r="F263" s="417"/>
      <c r="G263" s="417"/>
      <c r="H263" s="417"/>
      <c r="I263" s="417"/>
      <c r="J263" s="417"/>
      <c r="K263" s="417"/>
      <c r="L263" s="417"/>
      <c r="M263" s="417"/>
      <c r="N263" s="417"/>
      <c r="O263" s="417"/>
    </row>
    <row r="264" spans="2:15" s="416" customFormat="1" ht="15" customHeight="1">
      <c r="B264" s="422"/>
      <c r="C264" s="417"/>
      <c r="D264" s="417"/>
      <c r="E264" s="417"/>
      <c r="F264" s="417"/>
      <c r="G264" s="417"/>
      <c r="H264" s="417"/>
      <c r="I264" s="417"/>
      <c r="J264" s="417"/>
      <c r="K264" s="417"/>
      <c r="L264" s="417"/>
      <c r="M264" s="417"/>
      <c r="N264" s="417"/>
      <c r="O264" s="417"/>
    </row>
    <row r="265" spans="2:15" s="416" customFormat="1" ht="15" customHeight="1">
      <c r="B265" s="422"/>
      <c r="C265" s="417"/>
      <c r="D265" s="417"/>
      <c r="E265" s="417"/>
      <c r="F265" s="417"/>
      <c r="G265" s="417"/>
      <c r="H265" s="417"/>
      <c r="I265" s="417"/>
      <c r="J265" s="417"/>
      <c r="K265" s="417"/>
      <c r="L265" s="417"/>
      <c r="M265" s="417"/>
      <c r="N265" s="417"/>
      <c r="O265" s="417"/>
    </row>
    <row r="266" spans="2:15" s="416" customFormat="1" ht="15" customHeight="1">
      <c r="B266" s="422"/>
      <c r="C266" s="417"/>
      <c r="D266" s="417"/>
      <c r="E266" s="417"/>
      <c r="F266" s="417"/>
      <c r="G266" s="417"/>
      <c r="H266" s="417"/>
      <c r="I266" s="417"/>
      <c r="J266" s="417"/>
      <c r="K266" s="417"/>
      <c r="L266" s="417"/>
      <c r="M266" s="417"/>
      <c r="N266" s="417"/>
      <c r="O266" s="417"/>
    </row>
    <row r="267" spans="2:15" s="416" customFormat="1" ht="15" customHeight="1">
      <c r="B267" s="422"/>
      <c r="C267" s="417"/>
      <c r="D267" s="417"/>
      <c r="E267" s="417"/>
      <c r="F267" s="417"/>
      <c r="G267" s="417"/>
      <c r="H267" s="417"/>
      <c r="I267" s="417"/>
      <c r="J267" s="417"/>
      <c r="K267" s="417"/>
      <c r="L267" s="417"/>
      <c r="M267" s="417"/>
      <c r="N267" s="417"/>
      <c r="O267" s="417"/>
    </row>
    <row r="268" spans="2:15" s="416" customFormat="1" ht="15" customHeight="1">
      <c r="B268" s="422"/>
      <c r="C268" s="417"/>
      <c r="D268" s="417"/>
      <c r="E268" s="417"/>
      <c r="F268" s="417"/>
      <c r="G268" s="417"/>
      <c r="H268" s="417"/>
      <c r="I268" s="417"/>
      <c r="J268" s="417"/>
      <c r="K268" s="417"/>
      <c r="L268" s="417"/>
      <c r="M268" s="417"/>
      <c r="N268" s="417"/>
      <c r="O268" s="417"/>
    </row>
    <row r="269" spans="2:15" s="416" customFormat="1" ht="15" customHeight="1">
      <c r="B269" s="422"/>
      <c r="C269" s="417"/>
      <c r="D269" s="417"/>
      <c r="E269" s="417"/>
      <c r="F269" s="417"/>
      <c r="G269" s="417"/>
      <c r="H269" s="417"/>
      <c r="I269" s="417"/>
      <c r="J269" s="417"/>
      <c r="K269" s="417"/>
      <c r="L269" s="417"/>
      <c r="M269" s="417"/>
      <c r="N269" s="417"/>
      <c r="O269" s="417"/>
    </row>
    <row r="270" spans="2:15" s="416" customFormat="1" ht="15" customHeight="1">
      <c r="B270" s="422"/>
      <c r="C270" s="417"/>
      <c r="D270" s="417"/>
      <c r="E270" s="417"/>
      <c r="F270" s="417"/>
      <c r="G270" s="417"/>
      <c r="H270" s="417"/>
      <c r="I270" s="417"/>
      <c r="J270" s="417"/>
      <c r="K270" s="417"/>
      <c r="L270" s="417"/>
      <c r="M270" s="417"/>
      <c r="N270" s="417"/>
      <c r="O270" s="417"/>
    </row>
    <row r="271" spans="2:15" s="416" customFormat="1" ht="15" customHeight="1">
      <c r="B271" s="422"/>
      <c r="C271" s="417"/>
      <c r="D271" s="417"/>
      <c r="E271" s="417"/>
      <c r="F271" s="417"/>
      <c r="G271" s="417"/>
      <c r="H271" s="417"/>
      <c r="I271" s="417"/>
      <c r="J271" s="417"/>
      <c r="K271" s="417"/>
      <c r="L271" s="417"/>
      <c r="M271" s="417"/>
      <c r="N271" s="417"/>
      <c r="O271" s="417"/>
    </row>
    <row r="272" spans="2:15" s="416" customFormat="1" ht="15" customHeight="1">
      <c r="B272" s="422"/>
      <c r="C272" s="417"/>
      <c r="D272" s="417"/>
      <c r="E272" s="417"/>
      <c r="F272" s="417"/>
      <c r="G272" s="417"/>
      <c r="H272" s="417"/>
      <c r="I272" s="417"/>
      <c r="J272" s="417"/>
      <c r="K272" s="417"/>
      <c r="L272" s="417"/>
      <c r="M272" s="417"/>
      <c r="N272" s="417"/>
      <c r="O272" s="417"/>
    </row>
    <row r="273" spans="2:15" s="416" customFormat="1" ht="15" customHeight="1">
      <c r="B273" s="422"/>
      <c r="C273" s="417"/>
      <c r="D273" s="417"/>
      <c r="E273" s="417"/>
      <c r="F273" s="417"/>
      <c r="G273" s="417"/>
      <c r="H273" s="417"/>
      <c r="I273" s="417"/>
      <c r="J273" s="417"/>
      <c r="K273" s="417"/>
      <c r="L273" s="417"/>
      <c r="M273" s="417"/>
      <c r="N273" s="417"/>
      <c r="O273" s="417"/>
    </row>
    <row r="274" spans="2:15" s="416" customFormat="1" ht="15" customHeight="1">
      <c r="B274" s="422"/>
      <c r="C274" s="417"/>
      <c r="D274" s="417"/>
      <c r="E274" s="417"/>
      <c r="F274" s="417"/>
      <c r="G274" s="417"/>
      <c r="H274" s="417"/>
      <c r="I274" s="417"/>
      <c r="J274" s="417"/>
      <c r="K274" s="417"/>
      <c r="L274" s="417"/>
      <c r="M274" s="417"/>
      <c r="N274" s="417"/>
      <c r="O274" s="417"/>
    </row>
    <row r="275" spans="2:15" s="416" customFormat="1" ht="15" customHeight="1">
      <c r="B275" s="422"/>
      <c r="C275" s="417"/>
      <c r="D275" s="417"/>
      <c r="E275" s="417"/>
      <c r="F275" s="417"/>
      <c r="G275" s="417"/>
      <c r="H275" s="417"/>
      <c r="I275" s="417"/>
      <c r="J275" s="417"/>
      <c r="K275" s="417"/>
      <c r="L275" s="417"/>
      <c r="M275" s="417"/>
      <c r="N275" s="417"/>
      <c r="O275" s="417"/>
    </row>
    <row r="276" spans="2:15" s="416" customFormat="1" ht="15" customHeight="1">
      <c r="B276" s="422"/>
      <c r="C276" s="417"/>
      <c r="D276" s="417"/>
      <c r="E276" s="417"/>
      <c r="F276" s="417"/>
      <c r="G276" s="417"/>
      <c r="H276" s="417"/>
      <c r="I276" s="417"/>
      <c r="J276" s="417"/>
      <c r="K276" s="417"/>
      <c r="L276" s="417"/>
      <c r="M276" s="417"/>
      <c r="N276" s="417"/>
      <c r="O276" s="417"/>
    </row>
    <row r="277" spans="2:15" s="416" customFormat="1" ht="15" customHeight="1">
      <c r="B277" s="422"/>
      <c r="C277" s="417"/>
      <c r="D277" s="417"/>
      <c r="E277" s="417"/>
      <c r="F277" s="417"/>
      <c r="G277" s="417"/>
      <c r="H277" s="417"/>
      <c r="I277" s="417"/>
      <c r="J277" s="417"/>
      <c r="K277" s="417"/>
      <c r="L277" s="417"/>
      <c r="M277" s="417"/>
      <c r="N277" s="417"/>
      <c r="O277" s="417"/>
    </row>
    <row r="278" spans="2:15" s="416" customFormat="1" ht="15" customHeight="1">
      <c r="B278" s="422"/>
      <c r="C278" s="417"/>
      <c r="D278" s="417"/>
      <c r="E278" s="417"/>
      <c r="F278" s="417"/>
      <c r="G278" s="417"/>
      <c r="H278" s="417"/>
      <c r="I278" s="417"/>
      <c r="J278" s="417"/>
      <c r="K278" s="417"/>
      <c r="L278" s="417"/>
      <c r="M278" s="417"/>
      <c r="N278" s="417"/>
      <c r="O278" s="417"/>
    </row>
    <row r="279" spans="2:15" s="416" customFormat="1" ht="15" customHeight="1">
      <c r="B279" s="422"/>
      <c r="C279" s="417"/>
      <c r="D279" s="417"/>
      <c r="E279" s="417"/>
      <c r="F279" s="417"/>
      <c r="G279" s="417"/>
      <c r="H279" s="417"/>
      <c r="I279" s="417"/>
      <c r="J279" s="417"/>
      <c r="K279" s="417"/>
      <c r="L279" s="417"/>
      <c r="M279" s="417"/>
      <c r="N279" s="417"/>
      <c r="O279" s="417"/>
    </row>
    <row r="280" spans="2:15" s="416" customFormat="1" ht="15" customHeight="1">
      <c r="B280" s="422"/>
      <c r="C280" s="417"/>
      <c r="D280" s="417"/>
      <c r="E280" s="417"/>
      <c r="F280" s="417"/>
      <c r="G280" s="417"/>
      <c r="H280" s="417"/>
      <c r="I280" s="417"/>
      <c r="J280" s="417"/>
      <c r="K280" s="417"/>
      <c r="L280" s="417"/>
      <c r="M280" s="417"/>
      <c r="N280" s="417"/>
      <c r="O280" s="417"/>
    </row>
    <row r="281" spans="2:15" s="416" customFormat="1" ht="15" customHeight="1">
      <c r="B281" s="422"/>
      <c r="C281" s="417"/>
      <c r="D281" s="417"/>
      <c r="E281" s="417"/>
      <c r="F281" s="417"/>
      <c r="G281" s="417"/>
      <c r="H281" s="417"/>
      <c r="I281" s="417"/>
      <c r="J281" s="417"/>
      <c r="K281" s="417"/>
      <c r="L281" s="417"/>
      <c r="M281" s="417"/>
      <c r="N281" s="417"/>
      <c r="O281" s="417"/>
    </row>
    <row r="282" spans="2:15" s="416" customFormat="1" ht="15" customHeight="1">
      <c r="B282" s="422"/>
      <c r="C282" s="417"/>
      <c r="D282" s="417"/>
      <c r="E282" s="417"/>
      <c r="F282" s="417"/>
      <c r="G282" s="417"/>
      <c r="H282" s="417"/>
      <c r="I282" s="417"/>
      <c r="J282" s="417"/>
      <c r="K282" s="417"/>
      <c r="L282" s="417"/>
      <c r="M282" s="417"/>
      <c r="N282" s="417"/>
      <c r="O282" s="417"/>
    </row>
    <row r="283" spans="2:15" s="416" customFormat="1" ht="15" customHeight="1">
      <c r="B283" s="422"/>
      <c r="C283" s="417"/>
      <c r="D283" s="417"/>
      <c r="E283" s="417"/>
      <c r="F283" s="417"/>
      <c r="G283" s="417"/>
      <c r="H283" s="417"/>
      <c r="I283" s="417"/>
      <c r="J283" s="417"/>
      <c r="K283" s="417"/>
      <c r="L283" s="417"/>
      <c r="M283" s="417"/>
      <c r="N283" s="417"/>
      <c r="O283" s="417"/>
    </row>
    <row r="284" spans="2:15" s="416" customFormat="1" ht="15" customHeight="1">
      <c r="B284" s="422"/>
      <c r="C284" s="417"/>
      <c r="D284" s="417"/>
      <c r="E284" s="417"/>
      <c r="F284" s="417"/>
      <c r="G284" s="417"/>
      <c r="H284" s="417"/>
      <c r="I284" s="417"/>
      <c r="J284" s="417"/>
      <c r="K284" s="417"/>
      <c r="L284" s="417"/>
      <c r="M284" s="417"/>
      <c r="N284" s="417"/>
      <c r="O284" s="417"/>
    </row>
    <row r="285" spans="2:15" s="416" customFormat="1" ht="15" customHeight="1">
      <c r="B285" s="422"/>
      <c r="C285" s="417"/>
      <c r="D285" s="417"/>
      <c r="E285" s="417"/>
      <c r="F285" s="417"/>
      <c r="G285" s="417"/>
      <c r="H285" s="417"/>
      <c r="I285" s="417"/>
      <c r="J285" s="417"/>
      <c r="K285" s="417"/>
      <c r="L285" s="417"/>
      <c r="M285" s="417"/>
      <c r="N285" s="417"/>
      <c r="O285" s="417"/>
    </row>
    <row r="286" spans="2:15" s="416" customFormat="1" ht="15" customHeight="1">
      <c r="B286" s="422"/>
      <c r="C286" s="417"/>
      <c r="D286" s="417"/>
      <c r="E286" s="417"/>
      <c r="F286" s="417"/>
      <c r="G286" s="417"/>
      <c r="H286" s="417"/>
      <c r="I286" s="417"/>
      <c r="J286" s="417"/>
      <c r="K286" s="417"/>
      <c r="L286" s="417"/>
      <c r="M286" s="417"/>
      <c r="N286" s="417"/>
      <c r="O286" s="417"/>
    </row>
    <row r="287" spans="2:15" s="416" customFormat="1" ht="15" customHeight="1">
      <c r="B287" s="422"/>
      <c r="C287" s="417"/>
      <c r="D287" s="417"/>
      <c r="E287" s="417"/>
      <c r="F287" s="417"/>
      <c r="G287" s="417"/>
      <c r="H287" s="417"/>
      <c r="I287" s="417"/>
      <c r="J287" s="417"/>
      <c r="K287" s="417"/>
      <c r="L287" s="417"/>
      <c r="M287" s="417"/>
      <c r="N287" s="417"/>
      <c r="O287" s="417"/>
    </row>
    <row r="288" spans="2:15" s="416" customFormat="1" ht="15" customHeight="1">
      <c r="B288" s="422"/>
      <c r="C288" s="417"/>
      <c r="D288" s="417"/>
      <c r="E288" s="417"/>
      <c r="F288" s="417"/>
      <c r="G288" s="417"/>
      <c r="H288" s="417"/>
      <c r="I288" s="417"/>
      <c r="J288" s="417"/>
      <c r="K288" s="417"/>
      <c r="L288" s="417"/>
      <c r="M288" s="417"/>
      <c r="N288" s="417"/>
      <c r="O288" s="417"/>
    </row>
    <row r="289" spans="2:15" s="416" customFormat="1" ht="15" customHeight="1">
      <c r="B289" s="422"/>
      <c r="C289" s="417"/>
      <c r="D289" s="417"/>
      <c r="E289" s="417"/>
      <c r="F289" s="417"/>
      <c r="G289" s="417"/>
      <c r="H289" s="417"/>
      <c r="I289" s="417"/>
      <c r="J289" s="417"/>
      <c r="K289" s="417"/>
      <c r="L289" s="417"/>
      <c r="M289" s="417"/>
      <c r="N289" s="417"/>
      <c r="O289" s="417"/>
    </row>
    <row r="290" spans="2:15" s="416" customFormat="1" ht="15" customHeight="1">
      <c r="B290" s="422"/>
      <c r="C290" s="417"/>
      <c r="D290" s="417"/>
      <c r="E290" s="417"/>
      <c r="F290" s="417"/>
      <c r="G290" s="417"/>
      <c r="H290" s="417"/>
      <c r="I290" s="417"/>
      <c r="J290" s="417"/>
      <c r="K290" s="417"/>
      <c r="L290" s="417"/>
      <c r="M290" s="417"/>
      <c r="N290" s="417"/>
      <c r="O290" s="417"/>
    </row>
    <row r="291" spans="2:15" s="416" customFormat="1" ht="15" customHeight="1">
      <c r="B291" s="422"/>
      <c r="C291" s="417"/>
      <c r="D291" s="417"/>
      <c r="E291" s="417"/>
      <c r="F291" s="417"/>
      <c r="G291" s="417"/>
      <c r="H291" s="417"/>
      <c r="I291" s="417"/>
      <c r="J291" s="417"/>
      <c r="K291" s="417"/>
      <c r="L291" s="417"/>
      <c r="M291" s="417"/>
      <c r="N291" s="417"/>
      <c r="O291" s="417"/>
    </row>
    <row r="292" spans="2:15" s="416" customFormat="1" ht="15" customHeight="1">
      <c r="B292" s="422"/>
      <c r="C292" s="417"/>
      <c r="D292" s="417"/>
      <c r="E292" s="417"/>
      <c r="F292" s="417"/>
      <c r="G292" s="417"/>
      <c r="H292" s="417"/>
      <c r="I292" s="417"/>
      <c r="J292" s="417"/>
      <c r="K292" s="417"/>
      <c r="L292" s="417"/>
      <c r="M292" s="417"/>
      <c r="N292" s="417"/>
      <c r="O292" s="417"/>
    </row>
    <row r="293" spans="2:15" s="416" customFormat="1" ht="15" customHeight="1">
      <c r="B293" s="422"/>
      <c r="C293" s="417"/>
      <c r="D293" s="417"/>
      <c r="E293" s="417"/>
      <c r="F293" s="417"/>
      <c r="G293" s="417"/>
      <c r="H293" s="417"/>
      <c r="I293" s="417"/>
      <c r="J293" s="417"/>
      <c r="K293" s="417"/>
      <c r="L293" s="417"/>
      <c r="M293" s="417"/>
      <c r="N293" s="417"/>
      <c r="O293" s="417"/>
    </row>
    <row r="294" spans="2:15" s="416" customFormat="1" ht="15" customHeight="1">
      <c r="B294" s="422"/>
      <c r="C294" s="417"/>
      <c r="D294" s="417"/>
      <c r="E294" s="417"/>
      <c r="F294" s="417"/>
      <c r="G294" s="417"/>
      <c r="H294" s="417"/>
      <c r="I294" s="417"/>
      <c r="J294" s="417"/>
      <c r="K294" s="417"/>
      <c r="L294" s="417"/>
      <c r="M294" s="417"/>
      <c r="N294" s="417"/>
      <c r="O294" s="417"/>
    </row>
    <row r="295" spans="2:15" s="416" customFormat="1" ht="15" customHeight="1">
      <c r="B295" s="422"/>
      <c r="C295" s="417"/>
      <c r="D295" s="417"/>
      <c r="E295" s="417"/>
      <c r="F295" s="417"/>
      <c r="G295" s="417"/>
      <c r="H295" s="417"/>
      <c r="I295" s="417"/>
      <c r="J295" s="417"/>
      <c r="K295" s="417"/>
      <c r="L295" s="417"/>
      <c r="M295" s="417"/>
      <c r="N295" s="417"/>
      <c r="O295" s="417"/>
    </row>
    <row r="296" spans="2:15" s="416" customFormat="1" ht="15" customHeight="1">
      <c r="B296" s="422"/>
      <c r="C296" s="417"/>
      <c r="D296" s="417"/>
      <c r="E296" s="417"/>
      <c r="F296" s="417"/>
      <c r="G296" s="417"/>
      <c r="H296" s="417"/>
      <c r="I296" s="417"/>
      <c r="J296" s="417"/>
      <c r="K296" s="417"/>
      <c r="L296" s="417"/>
      <c r="M296" s="417"/>
      <c r="N296" s="417"/>
      <c r="O296" s="417"/>
    </row>
    <row r="297" spans="2:15" s="416" customFormat="1" ht="15" customHeight="1">
      <c r="B297" s="422"/>
      <c r="C297" s="417"/>
      <c r="D297" s="417"/>
      <c r="E297" s="417"/>
      <c r="F297" s="417"/>
      <c r="G297" s="417"/>
      <c r="H297" s="417"/>
      <c r="I297" s="417"/>
      <c r="J297" s="417"/>
      <c r="K297" s="417"/>
      <c r="L297" s="417"/>
      <c r="M297" s="417"/>
      <c r="N297" s="417"/>
      <c r="O297" s="417"/>
    </row>
    <row r="298" spans="2:15" s="416" customFormat="1" ht="15" customHeight="1">
      <c r="B298" s="422"/>
      <c r="C298" s="417"/>
      <c r="D298" s="417"/>
      <c r="E298" s="417"/>
      <c r="F298" s="417"/>
      <c r="G298" s="417"/>
      <c r="H298" s="417"/>
      <c r="I298" s="417"/>
      <c r="J298" s="417"/>
      <c r="K298" s="417"/>
      <c r="L298" s="417"/>
      <c r="M298" s="417"/>
      <c r="N298" s="417"/>
      <c r="O298" s="417"/>
    </row>
    <row r="299" spans="2:15" s="416" customFormat="1" ht="15" customHeight="1">
      <c r="B299" s="422"/>
      <c r="C299" s="417"/>
      <c r="D299" s="417"/>
      <c r="E299" s="417"/>
      <c r="F299" s="417"/>
      <c r="G299" s="417"/>
      <c r="H299" s="417"/>
      <c r="I299" s="417"/>
      <c r="J299" s="417"/>
      <c r="K299" s="417"/>
      <c r="L299" s="417"/>
      <c r="M299" s="417"/>
      <c r="N299" s="417"/>
      <c r="O299" s="417"/>
    </row>
    <row r="300" spans="2:15" s="416" customFormat="1" ht="15" customHeight="1">
      <c r="B300" s="422"/>
      <c r="C300" s="417"/>
      <c r="D300" s="417"/>
      <c r="E300" s="417"/>
      <c r="F300" s="417"/>
      <c r="G300" s="417"/>
      <c r="H300" s="417"/>
      <c r="I300" s="417"/>
      <c r="J300" s="417"/>
      <c r="K300" s="417"/>
      <c r="L300" s="417"/>
      <c r="M300" s="417"/>
      <c r="N300" s="417"/>
      <c r="O300" s="417"/>
    </row>
    <row r="301" spans="2:15" s="416" customFormat="1" ht="15" customHeight="1">
      <c r="B301" s="422"/>
      <c r="C301" s="417"/>
      <c r="D301" s="417"/>
      <c r="E301" s="417"/>
      <c r="F301" s="417"/>
      <c r="G301" s="417"/>
      <c r="H301" s="417"/>
      <c r="I301" s="417"/>
      <c r="J301" s="417"/>
      <c r="K301" s="417"/>
      <c r="L301" s="417"/>
      <c r="M301" s="417"/>
      <c r="N301" s="417"/>
      <c r="O301" s="417"/>
    </row>
    <row r="302" spans="2:15" s="416" customFormat="1" ht="15" customHeight="1">
      <c r="B302" s="422"/>
      <c r="C302" s="417"/>
      <c r="D302" s="417"/>
      <c r="E302" s="417"/>
      <c r="F302" s="417"/>
      <c r="G302" s="417"/>
      <c r="H302" s="417"/>
      <c r="I302" s="417"/>
      <c r="J302" s="417"/>
      <c r="K302" s="417"/>
      <c r="L302" s="417"/>
      <c r="M302" s="417"/>
      <c r="N302" s="417"/>
      <c r="O302" s="417"/>
    </row>
    <row r="303" spans="2:15" s="416" customFormat="1" ht="15" customHeight="1">
      <c r="B303" s="422"/>
      <c r="C303" s="417"/>
      <c r="D303" s="417"/>
      <c r="E303" s="417"/>
      <c r="F303" s="417"/>
      <c r="G303" s="417"/>
      <c r="H303" s="417"/>
      <c r="I303" s="417"/>
      <c r="J303" s="417"/>
      <c r="K303" s="417"/>
      <c r="L303" s="417"/>
      <c r="M303" s="417"/>
      <c r="N303" s="417"/>
      <c r="O303" s="417"/>
    </row>
    <row r="304" spans="2:15" s="416" customFormat="1" ht="15" customHeight="1">
      <c r="B304" s="422"/>
      <c r="C304" s="417"/>
      <c r="D304" s="417"/>
      <c r="E304" s="417"/>
      <c r="F304" s="417"/>
      <c r="G304" s="417"/>
      <c r="H304" s="417"/>
      <c r="I304" s="417"/>
      <c r="J304" s="417"/>
      <c r="K304" s="417"/>
      <c r="L304" s="417"/>
      <c r="M304" s="417"/>
      <c r="N304" s="417"/>
      <c r="O304" s="417"/>
    </row>
    <row r="305" spans="2:15" s="416" customFormat="1" ht="15" customHeight="1">
      <c r="B305" s="422"/>
      <c r="C305" s="417"/>
      <c r="D305" s="417"/>
      <c r="E305" s="417"/>
      <c r="F305" s="417"/>
      <c r="G305" s="417"/>
      <c r="H305" s="417"/>
      <c r="I305" s="417"/>
      <c r="J305" s="417"/>
      <c r="K305" s="417"/>
      <c r="L305" s="417"/>
      <c r="M305" s="417"/>
      <c r="N305" s="417"/>
      <c r="O305" s="417"/>
    </row>
    <row r="306" spans="2:15" s="416" customFormat="1" ht="15" customHeight="1">
      <c r="B306" s="422"/>
      <c r="C306" s="417"/>
      <c r="D306" s="417"/>
      <c r="E306" s="417"/>
      <c r="F306" s="417"/>
      <c r="G306" s="417"/>
      <c r="H306" s="417"/>
      <c r="I306" s="417"/>
      <c r="J306" s="417"/>
      <c r="K306" s="417"/>
      <c r="L306" s="417"/>
      <c r="M306" s="417"/>
      <c r="N306" s="417"/>
      <c r="O306" s="417"/>
    </row>
    <row r="307" spans="2:15" s="416" customFormat="1" ht="15" customHeight="1">
      <c r="B307" s="422"/>
      <c r="C307" s="417"/>
      <c r="D307" s="417"/>
      <c r="E307" s="417"/>
      <c r="F307" s="417"/>
      <c r="G307" s="417"/>
      <c r="H307" s="417"/>
      <c r="I307" s="417"/>
      <c r="J307" s="417"/>
      <c r="K307" s="417"/>
      <c r="L307" s="417"/>
      <c r="M307" s="417"/>
      <c r="N307" s="417"/>
      <c r="O307" s="417"/>
    </row>
    <row r="308" spans="2:15" s="416" customFormat="1" ht="15" customHeight="1">
      <c r="B308" s="422"/>
      <c r="C308" s="417"/>
      <c r="D308" s="417"/>
      <c r="E308" s="417"/>
      <c r="F308" s="417"/>
      <c r="G308" s="417"/>
      <c r="H308" s="417"/>
      <c r="I308" s="417"/>
      <c r="J308" s="417"/>
      <c r="K308" s="417"/>
      <c r="L308" s="417"/>
      <c r="M308" s="417"/>
      <c r="N308" s="417"/>
      <c r="O308" s="417"/>
    </row>
    <row r="309" spans="2:15" s="416" customFormat="1" ht="15" customHeight="1">
      <c r="B309" s="422"/>
      <c r="C309" s="417"/>
      <c r="D309" s="417"/>
      <c r="E309" s="417"/>
      <c r="F309" s="417"/>
      <c r="G309" s="417"/>
      <c r="H309" s="417"/>
      <c r="I309" s="417"/>
      <c r="J309" s="417"/>
      <c r="K309" s="417"/>
      <c r="L309" s="417"/>
      <c r="M309" s="417"/>
      <c r="N309" s="417"/>
      <c r="O309" s="417"/>
    </row>
    <row r="310" spans="2:15" s="416" customFormat="1" ht="15" customHeight="1">
      <c r="B310" s="422"/>
      <c r="C310" s="417"/>
      <c r="D310" s="417"/>
      <c r="E310" s="417"/>
      <c r="F310" s="417"/>
      <c r="G310" s="417"/>
      <c r="H310" s="417"/>
      <c r="I310" s="417"/>
      <c r="J310" s="417"/>
      <c r="K310" s="417"/>
      <c r="L310" s="417"/>
      <c r="M310" s="417"/>
      <c r="N310" s="417"/>
      <c r="O310" s="417"/>
    </row>
    <row r="311" spans="2:15" s="416" customFormat="1" ht="15" customHeight="1">
      <c r="B311" s="422"/>
      <c r="C311" s="417"/>
      <c r="D311" s="417"/>
      <c r="E311" s="417"/>
      <c r="F311" s="417"/>
      <c r="G311" s="417"/>
      <c r="H311" s="417"/>
      <c r="I311" s="417"/>
      <c r="J311" s="417"/>
      <c r="K311" s="417"/>
      <c r="L311" s="417"/>
      <c r="M311" s="417"/>
      <c r="N311" s="417"/>
      <c r="O311" s="417"/>
    </row>
    <row r="312" spans="2:15" s="416" customFormat="1" ht="15" customHeight="1">
      <c r="B312" s="422"/>
      <c r="C312" s="417"/>
      <c r="D312" s="417"/>
      <c r="E312" s="417"/>
      <c r="F312" s="417"/>
      <c r="G312" s="417"/>
      <c r="H312" s="417"/>
      <c r="I312" s="417"/>
      <c r="J312" s="417"/>
      <c r="K312" s="417"/>
      <c r="L312" s="417"/>
      <c r="M312" s="417"/>
      <c r="N312" s="417"/>
      <c r="O312" s="417"/>
    </row>
    <row r="313" spans="2:15" s="416" customFormat="1" ht="15" customHeight="1">
      <c r="B313" s="422"/>
      <c r="C313" s="417"/>
      <c r="D313" s="417"/>
      <c r="E313" s="417"/>
      <c r="F313" s="417"/>
      <c r="G313" s="417"/>
      <c r="H313" s="417"/>
      <c r="I313" s="417"/>
      <c r="J313" s="417"/>
      <c r="K313" s="417"/>
      <c r="L313" s="417"/>
      <c r="M313" s="417"/>
      <c r="N313" s="417"/>
      <c r="O313" s="417"/>
    </row>
    <row r="314" spans="2:15" s="416" customFormat="1" ht="15" customHeight="1">
      <c r="B314" s="422"/>
      <c r="C314" s="417"/>
      <c r="D314" s="417"/>
      <c r="E314" s="417"/>
      <c r="F314" s="417"/>
      <c r="G314" s="417"/>
      <c r="H314" s="417"/>
      <c r="I314" s="417"/>
      <c r="J314" s="417"/>
      <c r="K314" s="417"/>
      <c r="L314" s="417"/>
      <c r="M314" s="417"/>
      <c r="N314" s="417"/>
      <c r="O314" s="417"/>
    </row>
    <row r="315" spans="2:15" s="416" customFormat="1" ht="15" customHeight="1">
      <c r="B315" s="422"/>
      <c r="C315" s="417"/>
      <c r="D315" s="417"/>
      <c r="E315" s="417"/>
      <c r="F315" s="417"/>
      <c r="G315" s="417"/>
      <c r="H315" s="417"/>
      <c r="I315" s="417"/>
      <c r="J315" s="417"/>
      <c r="K315" s="417"/>
      <c r="L315" s="417"/>
      <c r="M315" s="417"/>
      <c r="N315" s="417"/>
      <c r="O315" s="417"/>
    </row>
    <row r="316" spans="2:15" s="416" customFormat="1" ht="15" customHeight="1">
      <c r="B316" s="422"/>
      <c r="C316" s="417"/>
      <c r="D316" s="417"/>
      <c r="E316" s="417"/>
      <c r="F316" s="417"/>
      <c r="G316" s="417"/>
      <c r="H316" s="417"/>
      <c r="I316" s="417"/>
      <c r="J316" s="417"/>
      <c r="K316" s="417"/>
      <c r="L316" s="417"/>
      <c r="M316" s="417"/>
      <c r="N316" s="417"/>
      <c r="O316" s="417"/>
    </row>
    <row r="317" spans="2:15" s="416" customFormat="1" ht="15" customHeight="1">
      <c r="B317" s="422"/>
      <c r="C317" s="417"/>
      <c r="D317" s="417"/>
      <c r="E317" s="417"/>
      <c r="F317" s="417"/>
      <c r="G317" s="417"/>
      <c r="H317" s="417"/>
      <c r="I317" s="417"/>
      <c r="J317" s="417"/>
      <c r="K317" s="417"/>
      <c r="L317" s="417"/>
      <c r="M317" s="417"/>
      <c r="N317" s="417"/>
      <c r="O317" s="417"/>
    </row>
    <row r="318" spans="2:15" s="416" customFormat="1" ht="15" customHeight="1">
      <c r="B318" s="422"/>
      <c r="C318" s="417"/>
      <c r="D318" s="417"/>
      <c r="E318" s="417"/>
      <c r="F318" s="417"/>
      <c r="G318" s="417"/>
      <c r="H318" s="417"/>
      <c r="I318" s="417"/>
      <c r="J318" s="417"/>
      <c r="K318" s="417"/>
      <c r="L318" s="417"/>
      <c r="M318" s="417"/>
      <c r="N318" s="417"/>
      <c r="O318" s="417"/>
    </row>
    <row r="319" spans="2:15" s="416" customFormat="1" ht="15" customHeight="1">
      <c r="B319" s="422"/>
      <c r="C319" s="417"/>
      <c r="D319" s="417"/>
      <c r="E319" s="417"/>
      <c r="F319" s="417"/>
      <c r="G319" s="417"/>
      <c r="H319" s="417"/>
      <c r="I319" s="417"/>
      <c r="J319" s="417"/>
      <c r="K319" s="417"/>
      <c r="L319" s="417"/>
      <c r="M319" s="417"/>
      <c r="N319" s="417"/>
      <c r="O319" s="417"/>
    </row>
    <row r="320" spans="2:15" s="416" customFormat="1" ht="15" customHeight="1">
      <c r="B320" s="422"/>
      <c r="C320" s="417"/>
      <c r="D320" s="417"/>
      <c r="E320" s="417"/>
      <c r="F320" s="417"/>
      <c r="G320" s="417"/>
      <c r="H320" s="417"/>
      <c r="I320" s="417"/>
      <c r="J320" s="417"/>
      <c r="K320" s="417"/>
      <c r="L320" s="417"/>
      <c r="M320" s="417"/>
      <c r="N320" s="417"/>
      <c r="O320" s="417"/>
    </row>
    <row r="321" spans="2:15" s="416" customFormat="1" ht="15" customHeight="1">
      <c r="B321" s="422"/>
      <c r="C321" s="417"/>
      <c r="D321" s="417"/>
      <c r="E321" s="417"/>
      <c r="F321" s="417"/>
      <c r="G321" s="417"/>
      <c r="H321" s="417"/>
      <c r="I321" s="417"/>
      <c r="J321" s="417"/>
      <c r="K321" s="417"/>
      <c r="L321" s="417"/>
      <c r="M321" s="417"/>
      <c r="N321" s="417"/>
      <c r="O321" s="417"/>
    </row>
    <row r="322" spans="2:15" s="416" customFormat="1" ht="15" customHeight="1">
      <c r="B322" s="422"/>
      <c r="C322" s="417"/>
      <c r="D322" s="417"/>
      <c r="E322" s="417"/>
      <c r="F322" s="417"/>
      <c r="G322" s="417"/>
      <c r="H322" s="417"/>
      <c r="I322" s="417"/>
      <c r="J322" s="417"/>
      <c r="K322" s="417"/>
      <c r="L322" s="417"/>
      <c r="M322" s="417"/>
      <c r="N322" s="417"/>
      <c r="O322" s="417"/>
    </row>
    <row r="323" spans="2:15" s="416" customFormat="1" ht="15" customHeight="1">
      <c r="B323" s="422"/>
      <c r="C323" s="417"/>
      <c r="D323" s="417"/>
      <c r="E323" s="417"/>
      <c r="F323" s="417"/>
      <c r="G323" s="417"/>
      <c r="H323" s="417"/>
      <c r="I323" s="417"/>
      <c r="J323" s="417"/>
      <c r="K323" s="417"/>
      <c r="L323" s="417"/>
      <c r="M323" s="417"/>
      <c r="N323" s="417"/>
      <c r="O323" s="417"/>
    </row>
    <row r="324" spans="2:15" s="416" customFormat="1" ht="15" customHeight="1">
      <c r="B324" s="422"/>
      <c r="C324" s="417"/>
      <c r="D324" s="417"/>
      <c r="E324" s="417"/>
      <c r="F324" s="417"/>
      <c r="G324" s="417"/>
      <c r="H324" s="417"/>
      <c r="I324" s="417"/>
      <c r="J324" s="417"/>
      <c r="K324" s="417"/>
      <c r="L324" s="417"/>
      <c r="M324" s="417"/>
      <c r="N324" s="417"/>
      <c r="O324" s="417"/>
    </row>
    <row r="325" spans="2:15" s="416" customFormat="1" ht="15" customHeight="1">
      <c r="B325" s="422"/>
      <c r="C325" s="417"/>
      <c r="D325" s="417"/>
      <c r="E325" s="417"/>
      <c r="F325" s="417"/>
      <c r="G325" s="417"/>
      <c r="H325" s="417"/>
      <c r="I325" s="417"/>
      <c r="J325" s="417"/>
      <c r="K325" s="417"/>
      <c r="L325" s="417"/>
      <c r="M325" s="417"/>
      <c r="N325" s="417"/>
      <c r="O325" s="417"/>
    </row>
    <row r="326" spans="2:15" s="416" customFormat="1" ht="15" customHeight="1">
      <c r="B326" s="422"/>
      <c r="C326" s="417"/>
      <c r="D326" s="417"/>
      <c r="E326" s="417"/>
      <c r="F326" s="417"/>
      <c r="G326" s="417"/>
      <c r="H326" s="417"/>
      <c r="I326" s="417"/>
      <c r="J326" s="417"/>
      <c r="K326" s="417"/>
      <c r="L326" s="417"/>
      <c r="M326" s="417"/>
      <c r="N326" s="417"/>
      <c r="O326" s="417"/>
    </row>
    <row r="327" spans="2:15" s="416" customFormat="1" ht="15" customHeight="1">
      <c r="B327" s="422"/>
      <c r="C327" s="417"/>
      <c r="D327" s="417"/>
      <c r="E327" s="417"/>
      <c r="F327" s="417"/>
      <c r="G327" s="417"/>
      <c r="H327" s="417"/>
      <c r="I327" s="417"/>
      <c r="J327" s="417"/>
      <c r="K327" s="417"/>
      <c r="L327" s="417"/>
      <c r="M327" s="417"/>
      <c r="N327" s="417"/>
      <c r="O327" s="417"/>
    </row>
    <row r="328" spans="2:15" s="416" customFormat="1" ht="15" customHeight="1">
      <c r="B328" s="422"/>
      <c r="C328" s="417"/>
      <c r="D328" s="417"/>
      <c r="E328" s="417"/>
      <c r="F328" s="417"/>
      <c r="G328" s="417"/>
      <c r="H328" s="417"/>
      <c r="I328" s="417"/>
      <c r="J328" s="417"/>
      <c r="K328" s="417"/>
      <c r="L328" s="417"/>
      <c r="M328" s="417"/>
      <c r="N328" s="417"/>
      <c r="O328" s="417"/>
    </row>
    <row r="329" spans="2:15" s="416" customFormat="1" ht="15" customHeight="1">
      <c r="B329" s="422"/>
      <c r="C329" s="417"/>
      <c r="D329" s="417"/>
      <c r="E329" s="417"/>
      <c r="F329" s="417"/>
      <c r="G329" s="417"/>
      <c r="H329" s="417"/>
      <c r="I329" s="417"/>
      <c r="J329" s="417"/>
      <c r="K329" s="417"/>
      <c r="L329" s="417"/>
      <c r="M329" s="417"/>
      <c r="N329" s="417"/>
      <c r="O329" s="417"/>
    </row>
    <row r="330" spans="2:15" s="416" customFormat="1" ht="15" customHeight="1">
      <c r="B330" s="422"/>
      <c r="C330" s="417"/>
      <c r="D330" s="417"/>
      <c r="E330" s="417"/>
      <c r="F330" s="417"/>
      <c r="G330" s="417"/>
      <c r="H330" s="417"/>
      <c r="I330" s="417"/>
      <c r="J330" s="417"/>
      <c r="K330" s="417"/>
      <c r="L330" s="417"/>
      <c r="M330" s="417"/>
      <c r="N330" s="417"/>
      <c r="O330" s="417"/>
    </row>
    <row r="331" spans="2:15" s="416" customFormat="1" ht="15" customHeight="1">
      <c r="B331" s="422"/>
      <c r="C331" s="417"/>
      <c r="D331" s="417"/>
      <c r="E331" s="417"/>
      <c r="F331" s="417"/>
      <c r="G331" s="417"/>
      <c r="H331" s="417"/>
      <c r="I331" s="417"/>
      <c r="J331" s="417"/>
      <c r="K331" s="417"/>
      <c r="L331" s="417"/>
      <c r="M331" s="417"/>
      <c r="N331" s="417"/>
      <c r="O331" s="417"/>
    </row>
    <row r="332" spans="2:15" s="416" customFormat="1" ht="15" customHeight="1">
      <c r="B332" s="422"/>
      <c r="C332" s="417"/>
      <c r="D332" s="417"/>
      <c r="E332" s="417"/>
      <c r="F332" s="417"/>
      <c r="G332" s="417"/>
      <c r="H332" s="417"/>
      <c r="I332" s="417"/>
      <c r="J332" s="417"/>
      <c r="K332" s="417"/>
      <c r="L332" s="417"/>
      <c r="M332" s="417"/>
      <c r="N332" s="417"/>
      <c r="O332" s="417"/>
    </row>
    <row r="333" spans="2:15" s="416" customFormat="1" ht="15" customHeight="1">
      <c r="B333" s="422"/>
      <c r="C333" s="417"/>
      <c r="D333" s="417"/>
      <c r="E333" s="417"/>
      <c r="F333" s="417"/>
      <c r="G333" s="417"/>
      <c r="H333" s="417"/>
      <c r="I333" s="417"/>
      <c r="J333" s="417"/>
      <c r="K333" s="417"/>
      <c r="L333" s="417"/>
      <c r="M333" s="417"/>
      <c r="N333" s="417"/>
      <c r="O333" s="417"/>
    </row>
    <row r="334" spans="2:15" s="416" customFormat="1" ht="15" customHeight="1">
      <c r="B334" s="422"/>
      <c r="C334" s="417"/>
      <c r="D334" s="417"/>
      <c r="E334" s="417"/>
      <c r="F334" s="417"/>
      <c r="G334" s="417"/>
      <c r="H334" s="417"/>
      <c r="I334" s="417"/>
      <c r="J334" s="417"/>
      <c r="K334" s="417"/>
      <c r="L334" s="417"/>
      <c r="M334" s="417"/>
      <c r="N334" s="417"/>
      <c r="O334" s="417"/>
    </row>
    <row r="335" spans="2:15" s="416" customFormat="1" ht="15" customHeight="1">
      <c r="B335" s="422"/>
      <c r="C335" s="417"/>
      <c r="D335" s="417"/>
      <c r="E335" s="417"/>
      <c r="F335" s="417"/>
      <c r="G335" s="417"/>
      <c r="H335" s="417"/>
      <c r="I335" s="417"/>
      <c r="J335" s="417"/>
      <c r="K335" s="417"/>
      <c r="L335" s="417"/>
      <c r="M335" s="417"/>
      <c r="N335" s="417"/>
      <c r="O335" s="417"/>
    </row>
    <row r="336" spans="2:15" s="416" customFormat="1" ht="15" customHeight="1">
      <c r="B336" s="422"/>
      <c r="C336" s="417"/>
      <c r="D336" s="417"/>
      <c r="E336" s="417"/>
      <c r="F336" s="417"/>
      <c r="G336" s="417"/>
      <c r="H336" s="417"/>
      <c r="I336" s="417"/>
      <c r="J336" s="417"/>
      <c r="K336" s="417"/>
      <c r="L336" s="417"/>
      <c r="M336" s="417"/>
      <c r="N336" s="417"/>
      <c r="O336" s="417"/>
    </row>
    <row r="337" spans="2:15" s="416" customFormat="1" ht="15" customHeight="1">
      <c r="B337" s="422"/>
      <c r="C337" s="417"/>
      <c r="D337" s="417"/>
      <c r="E337" s="417"/>
      <c r="F337" s="417"/>
      <c r="G337" s="417"/>
      <c r="H337" s="417"/>
      <c r="I337" s="417"/>
      <c r="J337" s="417"/>
      <c r="K337" s="417"/>
      <c r="L337" s="417"/>
      <c r="M337" s="417"/>
      <c r="N337" s="417"/>
      <c r="O337" s="417"/>
    </row>
    <row r="338" spans="2:15" s="416" customFormat="1" ht="15" customHeight="1">
      <c r="B338" s="422"/>
      <c r="C338" s="417"/>
      <c r="D338" s="417"/>
      <c r="E338" s="417"/>
      <c r="F338" s="417"/>
      <c r="G338" s="417"/>
      <c r="H338" s="417"/>
      <c r="I338" s="417"/>
      <c r="J338" s="417"/>
      <c r="K338" s="417"/>
      <c r="L338" s="417"/>
      <c r="M338" s="417"/>
      <c r="N338" s="417"/>
      <c r="O338" s="417"/>
    </row>
    <row r="339" spans="2:15" s="416" customFormat="1" ht="15" customHeight="1">
      <c r="B339" s="422"/>
      <c r="C339" s="417"/>
      <c r="D339" s="417"/>
      <c r="E339" s="417"/>
      <c r="F339" s="417"/>
      <c r="G339" s="417"/>
      <c r="H339" s="417"/>
      <c r="I339" s="417"/>
      <c r="J339" s="417"/>
      <c r="K339" s="417"/>
      <c r="L339" s="417"/>
      <c r="M339" s="417"/>
      <c r="N339" s="417"/>
      <c r="O339" s="417"/>
    </row>
    <row r="340" spans="2:15" s="416" customFormat="1" ht="15" customHeight="1">
      <c r="B340" s="422"/>
      <c r="C340" s="417"/>
      <c r="D340" s="417"/>
      <c r="E340" s="417"/>
      <c r="F340" s="417"/>
      <c r="G340" s="417"/>
      <c r="H340" s="417"/>
      <c r="I340" s="417"/>
      <c r="J340" s="417"/>
      <c r="K340" s="417"/>
      <c r="L340" s="417"/>
      <c r="M340" s="417"/>
      <c r="N340" s="417"/>
      <c r="O340" s="417"/>
    </row>
    <row r="341" spans="2:15" s="416" customFormat="1" ht="15" customHeight="1">
      <c r="B341" s="422"/>
      <c r="C341" s="417"/>
      <c r="D341" s="417"/>
      <c r="E341" s="417"/>
      <c r="F341" s="417"/>
      <c r="G341" s="417"/>
      <c r="H341" s="417"/>
      <c r="I341" s="417"/>
      <c r="J341" s="417"/>
      <c r="K341" s="417"/>
      <c r="L341" s="417"/>
      <c r="M341" s="417"/>
      <c r="N341" s="417"/>
      <c r="O341" s="417"/>
    </row>
    <row r="342" spans="2:15" s="416" customFormat="1" ht="15" customHeight="1">
      <c r="B342" s="422"/>
      <c r="C342" s="417"/>
      <c r="D342" s="417"/>
      <c r="E342" s="417"/>
      <c r="F342" s="417"/>
      <c r="G342" s="417"/>
      <c r="H342" s="417"/>
      <c r="I342" s="417"/>
      <c r="J342" s="417"/>
      <c r="K342" s="417"/>
      <c r="L342" s="417"/>
      <c r="M342" s="417"/>
      <c r="N342" s="417"/>
      <c r="O342" s="417"/>
    </row>
    <row r="343" spans="2:15" s="416" customFormat="1" ht="15" customHeight="1">
      <c r="B343" s="422"/>
      <c r="C343" s="417"/>
      <c r="D343" s="417"/>
      <c r="E343" s="417"/>
      <c r="F343" s="417"/>
      <c r="G343" s="417"/>
      <c r="H343" s="417"/>
      <c r="I343" s="417"/>
      <c r="J343" s="417"/>
      <c r="K343" s="417"/>
      <c r="L343" s="417"/>
      <c r="M343" s="417"/>
      <c r="N343" s="417"/>
      <c r="O343" s="417"/>
    </row>
    <row r="344" spans="2:15" s="416" customFormat="1" ht="15" customHeight="1">
      <c r="B344" s="422"/>
      <c r="C344" s="417"/>
      <c r="D344" s="417"/>
      <c r="E344" s="417"/>
      <c r="F344" s="417"/>
      <c r="G344" s="417"/>
      <c r="H344" s="417"/>
      <c r="I344" s="417"/>
      <c r="J344" s="417"/>
      <c r="K344" s="417"/>
      <c r="L344" s="417"/>
      <c r="M344" s="417"/>
      <c r="N344" s="417"/>
      <c r="O344" s="417"/>
    </row>
    <row r="345" spans="2:15" s="416" customFormat="1" ht="15" customHeight="1">
      <c r="B345" s="422"/>
      <c r="C345" s="417"/>
      <c r="D345" s="417"/>
      <c r="E345" s="417"/>
      <c r="F345" s="417"/>
      <c r="G345" s="417"/>
      <c r="H345" s="417"/>
      <c r="I345" s="417"/>
      <c r="J345" s="417"/>
      <c r="K345" s="417"/>
      <c r="L345" s="417"/>
      <c r="M345" s="417"/>
      <c r="N345" s="417"/>
      <c r="O345" s="417"/>
    </row>
    <row r="346" spans="2:15" s="416" customFormat="1" ht="15" customHeight="1">
      <c r="B346" s="422"/>
      <c r="C346" s="417"/>
      <c r="D346" s="417"/>
      <c r="E346" s="417"/>
      <c r="F346" s="417"/>
      <c r="G346" s="417"/>
      <c r="H346" s="417"/>
      <c r="I346" s="417"/>
      <c r="J346" s="417"/>
      <c r="K346" s="417"/>
      <c r="L346" s="417"/>
      <c r="M346" s="417"/>
      <c r="N346" s="417"/>
      <c r="O346" s="417"/>
    </row>
    <row r="347" spans="2:15" s="416" customFormat="1" ht="15" customHeight="1">
      <c r="B347" s="422"/>
      <c r="C347" s="417"/>
      <c r="D347" s="417"/>
      <c r="E347" s="417"/>
      <c r="F347" s="417"/>
      <c r="G347" s="417"/>
      <c r="H347" s="417"/>
      <c r="I347" s="417"/>
      <c r="J347" s="417"/>
      <c r="K347" s="417"/>
      <c r="L347" s="417"/>
      <c r="M347" s="417"/>
      <c r="N347" s="417"/>
      <c r="O347" s="417"/>
    </row>
    <row r="348" spans="2:15" s="416" customFormat="1" ht="15" customHeight="1">
      <c r="B348" s="422"/>
      <c r="C348" s="417"/>
      <c r="D348" s="417"/>
      <c r="E348" s="417"/>
      <c r="F348" s="417"/>
      <c r="G348" s="417"/>
      <c r="H348" s="417"/>
      <c r="I348" s="417"/>
      <c r="J348" s="417"/>
      <c r="K348" s="417"/>
      <c r="L348" s="417"/>
      <c r="M348" s="417"/>
      <c r="N348" s="417"/>
      <c r="O348" s="417"/>
    </row>
    <row r="349" spans="2:15" s="416" customFormat="1" ht="15" customHeight="1">
      <c r="B349" s="422"/>
      <c r="C349" s="417"/>
      <c r="D349" s="417"/>
      <c r="E349" s="417"/>
      <c r="F349" s="417"/>
      <c r="G349" s="417"/>
      <c r="H349" s="417"/>
      <c r="I349" s="417"/>
      <c r="J349" s="417"/>
      <c r="K349" s="417"/>
      <c r="L349" s="417"/>
      <c r="M349" s="417"/>
      <c r="N349" s="417"/>
      <c r="O349" s="417"/>
    </row>
    <row r="350" spans="2:15" s="416" customFormat="1" ht="15" customHeight="1">
      <c r="B350" s="422"/>
      <c r="C350" s="417"/>
      <c r="D350" s="417"/>
      <c r="E350" s="417"/>
      <c r="F350" s="417"/>
      <c r="G350" s="417"/>
      <c r="H350" s="417"/>
      <c r="I350" s="417"/>
      <c r="J350" s="417"/>
      <c r="K350" s="417"/>
      <c r="L350" s="417"/>
      <c r="M350" s="417"/>
      <c r="N350" s="417"/>
      <c r="O350" s="417"/>
    </row>
    <row r="351" spans="2:15" s="416" customFormat="1" ht="15" customHeight="1">
      <c r="B351" s="422"/>
      <c r="C351" s="417"/>
      <c r="D351" s="417"/>
      <c r="E351" s="417"/>
      <c r="F351" s="417"/>
      <c r="G351" s="417"/>
      <c r="H351" s="417"/>
      <c r="I351" s="417"/>
      <c r="J351" s="417"/>
      <c r="K351" s="417"/>
      <c r="L351" s="417"/>
      <c r="M351" s="417"/>
      <c r="N351" s="417"/>
      <c r="O351" s="417"/>
    </row>
    <row r="352" spans="2:15" s="416" customFormat="1" ht="15" customHeight="1">
      <c r="B352" s="422"/>
      <c r="C352" s="417"/>
      <c r="D352" s="417"/>
      <c r="E352" s="417"/>
      <c r="F352" s="417"/>
      <c r="G352" s="417"/>
      <c r="H352" s="417"/>
      <c r="I352" s="417"/>
      <c r="J352" s="417"/>
      <c r="K352" s="417"/>
      <c r="L352" s="417"/>
      <c r="M352" s="417"/>
      <c r="N352" s="417"/>
      <c r="O352" s="417"/>
    </row>
    <row r="353" spans="2:15" s="416" customFormat="1" ht="15" customHeight="1">
      <c r="B353" s="422"/>
      <c r="C353" s="417"/>
      <c r="D353" s="417"/>
      <c r="E353" s="417"/>
      <c r="F353" s="417"/>
      <c r="G353" s="417"/>
      <c r="H353" s="417"/>
      <c r="I353" s="417"/>
      <c r="J353" s="417"/>
      <c r="K353" s="417"/>
      <c r="L353" s="417"/>
      <c r="M353" s="417"/>
      <c r="N353" s="417"/>
      <c r="O353" s="417"/>
    </row>
    <row r="354" spans="2:15" s="416" customFormat="1" ht="15" customHeight="1">
      <c r="B354" s="422"/>
      <c r="C354" s="417"/>
      <c r="D354" s="417"/>
      <c r="E354" s="417"/>
      <c r="F354" s="417"/>
      <c r="G354" s="417"/>
      <c r="H354" s="417"/>
      <c r="I354" s="417"/>
      <c r="J354" s="417"/>
      <c r="K354" s="417"/>
      <c r="L354" s="417"/>
      <c r="M354" s="417"/>
      <c r="N354" s="417"/>
      <c r="O354" s="417"/>
    </row>
    <row r="355" spans="2:15" s="416" customFormat="1" ht="15" customHeight="1">
      <c r="B355" s="422"/>
      <c r="C355" s="417"/>
      <c r="D355" s="417"/>
      <c r="E355" s="417"/>
      <c r="F355" s="417"/>
      <c r="G355" s="417"/>
      <c r="H355" s="417"/>
      <c r="I355" s="417"/>
      <c r="J355" s="417"/>
      <c r="K355" s="417"/>
      <c r="L355" s="417"/>
      <c r="M355" s="417"/>
      <c r="N355" s="417"/>
      <c r="O355" s="417"/>
    </row>
    <row r="356" spans="2:15" s="416" customFormat="1" ht="15" customHeight="1">
      <c r="B356" s="422"/>
      <c r="C356" s="417"/>
      <c r="D356" s="417"/>
      <c r="E356" s="417"/>
      <c r="F356" s="417"/>
      <c r="G356" s="417"/>
      <c r="H356" s="417"/>
      <c r="I356" s="417"/>
      <c r="J356" s="417"/>
      <c r="K356" s="417"/>
      <c r="L356" s="417"/>
      <c r="M356" s="417"/>
      <c r="N356" s="417"/>
      <c r="O356" s="417"/>
    </row>
    <row r="357" spans="2:15" s="416" customFormat="1" ht="15" customHeight="1">
      <c r="B357" s="422"/>
      <c r="C357" s="417"/>
      <c r="D357" s="417"/>
      <c r="E357" s="417"/>
      <c r="F357" s="417"/>
      <c r="G357" s="417"/>
      <c r="H357" s="417"/>
      <c r="I357" s="417"/>
      <c r="J357" s="417"/>
      <c r="K357" s="417"/>
      <c r="L357" s="417"/>
      <c r="M357" s="417"/>
      <c r="N357" s="417"/>
      <c r="O357" s="417"/>
    </row>
    <row r="358" spans="2:15" s="416" customFormat="1" ht="15" customHeight="1">
      <c r="B358" s="422"/>
      <c r="C358" s="417"/>
      <c r="D358" s="417"/>
      <c r="E358" s="417"/>
      <c r="F358" s="417"/>
      <c r="G358" s="417"/>
      <c r="H358" s="417"/>
      <c r="I358" s="417"/>
      <c r="J358" s="417"/>
      <c r="K358" s="417"/>
      <c r="L358" s="417"/>
      <c r="M358" s="417"/>
      <c r="N358" s="417"/>
      <c r="O358" s="417"/>
    </row>
    <row r="359" spans="2:15" s="416" customFormat="1" ht="15" customHeight="1">
      <c r="B359" s="422"/>
      <c r="C359" s="417"/>
      <c r="D359" s="417"/>
      <c r="E359" s="417"/>
      <c r="F359" s="417"/>
      <c r="G359" s="417"/>
      <c r="H359" s="417"/>
      <c r="I359" s="417"/>
      <c r="J359" s="417"/>
      <c r="K359" s="417"/>
      <c r="L359" s="417"/>
      <c r="M359" s="417"/>
      <c r="N359" s="417"/>
      <c r="O359" s="417"/>
    </row>
    <row r="360" spans="2:15" s="416" customFormat="1" ht="15" customHeight="1">
      <c r="B360" s="422"/>
      <c r="C360" s="417"/>
      <c r="D360" s="417"/>
      <c r="E360" s="417"/>
      <c r="F360" s="417"/>
      <c r="G360" s="417"/>
      <c r="H360" s="417"/>
      <c r="I360" s="417"/>
      <c r="J360" s="417"/>
      <c r="K360" s="417"/>
      <c r="L360" s="417"/>
      <c r="M360" s="417"/>
      <c r="N360" s="417"/>
      <c r="O360" s="417"/>
    </row>
    <row r="361" spans="2:15" s="416" customFormat="1" ht="15" customHeight="1">
      <c r="B361" s="422"/>
      <c r="C361" s="417"/>
      <c r="D361" s="417"/>
      <c r="E361" s="417"/>
      <c r="F361" s="417"/>
      <c r="G361" s="417"/>
      <c r="H361" s="417"/>
      <c r="I361" s="417"/>
      <c r="J361" s="417"/>
      <c r="K361" s="417"/>
      <c r="L361" s="417"/>
      <c r="M361" s="417"/>
      <c r="N361" s="417"/>
      <c r="O361" s="417"/>
    </row>
    <row r="362" spans="2:15" s="416" customFormat="1" ht="15" customHeight="1">
      <c r="B362" s="422"/>
      <c r="C362" s="417"/>
      <c r="D362" s="417"/>
      <c r="E362" s="417"/>
      <c r="F362" s="417"/>
      <c r="G362" s="417"/>
      <c r="H362" s="417"/>
      <c r="I362" s="417"/>
      <c r="J362" s="417"/>
      <c r="K362" s="417"/>
      <c r="L362" s="417"/>
      <c r="M362" s="417"/>
      <c r="N362" s="417"/>
      <c r="O362" s="417"/>
    </row>
    <row r="363" spans="2:15" s="416" customFormat="1" ht="15" customHeight="1">
      <c r="B363" s="422"/>
      <c r="C363" s="417"/>
      <c r="D363" s="417"/>
      <c r="E363" s="417"/>
      <c r="F363" s="417"/>
      <c r="G363" s="417"/>
      <c r="H363" s="417"/>
      <c r="I363" s="417"/>
      <c r="J363" s="417"/>
      <c r="K363" s="417"/>
      <c r="L363" s="417"/>
      <c r="M363" s="417"/>
      <c r="N363" s="417"/>
      <c r="O363" s="417"/>
    </row>
    <row r="364" spans="2:15" s="416" customFormat="1" ht="15" customHeight="1">
      <c r="B364" s="422"/>
      <c r="C364" s="417"/>
      <c r="D364" s="417"/>
      <c r="E364" s="417"/>
      <c r="F364" s="417"/>
      <c r="G364" s="417"/>
      <c r="H364" s="417"/>
      <c r="I364" s="417"/>
      <c r="J364" s="417"/>
      <c r="K364" s="417"/>
      <c r="L364" s="417"/>
      <c r="M364" s="417"/>
      <c r="N364" s="417"/>
      <c r="O364" s="417"/>
    </row>
    <row r="365" spans="2:15" s="416" customFormat="1" ht="15" customHeight="1">
      <c r="B365" s="422"/>
      <c r="C365" s="417"/>
      <c r="D365" s="417"/>
      <c r="E365" s="417"/>
      <c r="F365" s="417"/>
      <c r="G365" s="417"/>
      <c r="H365" s="417"/>
      <c r="I365" s="417"/>
      <c r="J365" s="417"/>
      <c r="K365" s="417"/>
      <c r="L365" s="417"/>
      <c r="M365" s="417"/>
      <c r="N365" s="417"/>
      <c r="O365" s="417"/>
    </row>
    <row r="366" spans="2:15" s="416" customFormat="1" ht="15" customHeight="1">
      <c r="B366" s="422"/>
      <c r="C366" s="417"/>
      <c r="D366" s="417"/>
      <c r="E366" s="417"/>
      <c r="F366" s="417"/>
      <c r="G366" s="417"/>
      <c r="H366" s="417"/>
      <c r="I366" s="417"/>
      <c r="J366" s="417"/>
      <c r="K366" s="417"/>
      <c r="L366" s="417"/>
      <c r="M366" s="417"/>
      <c r="N366" s="417"/>
      <c r="O366" s="417"/>
    </row>
    <row r="367" spans="2:15" s="416" customFormat="1" ht="15" customHeight="1">
      <c r="B367" s="422"/>
      <c r="C367" s="417"/>
      <c r="D367" s="417"/>
      <c r="E367" s="417"/>
      <c r="F367" s="417"/>
      <c r="G367" s="417"/>
      <c r="H367" s="417"/>
      <c r="I367" s="417"/>
      <c r="J367" s="417"/>
      <c r="K367" s="417"/>
      <c r="L367" s="417"/>
      <c r="M367" s="417"/>
      <c r="N367" s="417"/>
      <c r="O367" s="417"/>
    </row>
    <row r="368" spans="2:15" s="416" customFormat="1" ht="15" customHeight="1">
      <c r="B368" s="422"/>
      <c r="C368" s="417"/>
      <c r="D368" s="417"/>
      <c r="E368" s="417"/>
      <c r="F368" s="417"/>
      <c r="G368" s="417"/>
      <c r="H368" s="417"/>
      <c r="I368" s="417"/>
      <c r="J368" s="417"/>
      <c r="K368" s="417"/>
      <c r="L368" s="417"/>
      <c r="M368" s="417"/>
      <c r="N368" s="417"/>
      <c r="O368" s="417"/>
    </row>
    <row r="369" spans="2:15" s="416" customFormat="1" ht="15" customHeight="1">
      <c r="B369" s="422"/>
      <c r="C369" s="417"/>
      <c r="D369" s="417"/>
      <c r="E369" s="417"/>
      <c r="F369" s="417"/>
      <c r="G369" s="417"/>
      <c r="H369" s="417"/>
      <c r="I369" s="417"/>
      <c r="J369" s="417"/>
      <c r="K369" s="417"/>
      <c r="L369" s="417"/>
      <c r="M369" s="417"/>
      <c r="N369" s="417"/>
      <c r="O369" s="417"/>
    </row>
    <row r="370" spans="2:15" s="416" customFormat="1" ht="15" customHeight="1">
      <c r="B370" s="422"/>
      <c r="C370" s="417"/>
      <c r="D370" s="417"/>
      <c r="E370" s="417"/>
      <c r="F370" s="417"/>
      <c r="G370" s="417"/>
      <c r="H370" s="417"/>
      <c r="I370" s="417"/>
      <c r="J370" s="417"/>
      <c r="K370" s="417"/>
      <c r="L370" s="417"/>
      <c r="M370" s="417"/>
      <c r="N370" s="417"/>
      <c r="O370" s="417"/>
    </row>
    <row r="371" spans="2:15" s="416" customFormat="1" ht="15" customHeight="1">
      <c r="B371" s="422"/>
      <c r="C371" s="417"/>
      <c r="D371" s="417"/>
      <c r="E371" s="417"/>
      <c r="F371" s="417"/>
      <c r="G371" s="417"/>
      <c r="H371" s="417"/>
      <c r="I371" s="417"/>
      <c r="J371" s="417"/>
      <c r="K371" s="417"/>
      <c r="L371" s="417"/>
      <c r="M371" s="417"/>
      <c r="N371" s="417"/>
      <c r="O371" s="417"/>
    </row>
    <row r="372" spans="2:15" s="416" customFormat="1" ht="15" customHeight="1">
      <c r="B372" s="422"/>
      <c r="C372" s="417"/>
      <c r="D372" s="417"/>
      <c r="E372" s="417"/>
      <c r="F372" s="417"/>
      <c r="G372" s="417"/>
      <c r="H372" s="417"/>
      <c r="I372" s="417"/>
      <c r="J372" s="417"/>
      <c r="K372" s="417"/>
      <c r="L372" s="417"/>
      <c r="M372" s="417"/>
      <c r="N372" s="417"/>
      <c r="O372" s="417"/>
    </row>
    <row r="373" spans="2:15" s="416" customFormat="1" ht="15" customHeight="1">
      <c r="B373" s="422"/>
      <c r="C373" s="417"/>
      <c r="D373" s="417"/>
      <c r="E373" s="417"/>
      <c r="F373" s="417"/>
      <c r="G373" s="417"/>
      <c r="H373" s="417"/>
      <c r="I373" s="417"/>
      <c r="J373" s="417"/>
      <c r="K373" s="417"/>
      <c r="L373" s="417"/>
      <c r="M373" s="417"/>
      <c r="N373" s="417"/>
      <c r="O373" s="417"/>
    </row>
    <row r="374" spans="2:15" s="416" customFormat="1" ht="15" customHeight="1">
      <c r="B374" s="422"/>
      <c r="C374" s="417"/>
      <c r="D374" s="417"/>
      <c r="E374" s="417"/>
      <c r="F374" s="417"/>
      <c r="G374" s="417"/>
      <c r="H374" s="417"/>
      <c r="I374" s="417"/>
      <c r="J374" s="417"/>
      <c r="K374" s="417"/>
      <c r="L374" s="417"/>
      <c r="M374" s="417"/>
      <c r="N374" s="417"/>
      <c r="O374" s="417"/>
    </row>
    <row r="375" spans="2:15" s="416" customFormat="1" ht="15" customHeight="1">
      <c r="B375" s="422"/>
      <c r="C375" s="417"/>
      <c r="D375" s="417"/>
      <c r="E375" s="417"/>
      <c r="F375" s="417"/>
      <c r="G375" s="417"/>
      <c r="H375" s="417"/>
      <c r="I375" s="417"/>
      <c r="J375" s="417"/>
      <c r="K375" s="417"/>
      <c r="L375" s="417"/>
      <c r="M375" s="417"/>
      <c r="N375" s="417"/>
      <c r="O375" s="417"/>
    </row>
    <row r="376" spans="2:15" s="416" customFormat="1" ht="15" customHeight="1">
      <c r="B376" s="422"/>
      <c r="C376" s="417"/>
      <c r="D376" s="417"/>
      <c r="E376" s="417"/>
      <c r="F376" s="417"/>
      <c r="G376" s="417"/>
      <c r="H376" s="417"/>
      <c r="I376" s="417"/>
      <c r="J376" s="417"/>
      <c r="K376" s="417"/>
      <c r="L376" s="417"/>
      <c r="M376" s="417"/>
      <c r="N376" s="417"/>
      <c r="O376" s="417"/>
    </row>
    <row r="377" spans="2:15" s="416" customFormat="1" ht="15" customHeight="1">
      <c r="B377" s="422"/>
      <c r="C377" s="417"/>
      <c r="D377" s="417"/>
      <c r="E377" s="417"/>
      <c r="F377" s="417"/>
      <c r="G377" s="417"/>
      <c r="H377" s="417"/>
      <c r="I377" s="417"/>
      <c r="J377" s="417"/>
      <c r="K377" s="417"/>
      <c r="L377" s="417"/>
      <c r="M377" s="417"/>
      <c r="N377" s="417"/>
      <c r="O377" s="417"/>
    </row>
    <row r="378" spans="2:15" s="416" customFormat="1" ht="15" customHeight="1">
      <c r="B378" s="422"/>
      <c r="C378" s="417"/>
      <c r="D378" s="417"/>
      <c r="E378" s="417"/>
      <c r="F378" s="417"/>
      <c r="G378" s="417"/>
      <c r="H378" s="417"/>
      <c r="I378" s="417"/>
      <c r="J378" s="417"/>
      <c r="K378" s="417"/>
      <c r="L378" s="417"/>
      <c r="M378" s="417"/>
      <c r="N378" s="417"/>
      <c r="O378" s="417"/>
    </row>
    <row r="379" spans="2:15" s="416" customFormat="1" ht="15" customHeight="1">
      <c r="B379" s="422"/>
      <c r="C379" s="417"/>
      <c r="D379" s="417"/>
      <c r="E379" s="417"/>
      <c r="F379" s="417"/>
      <c r="G379" s="417"/>
      <c r="H379" s="417"/>
      <c r="I379" s="417"/>
      <c r="J379" s="417"/>
      <c r="K379" s="417"/>
      <c r="L379" s="417"/>
      <c r="M379" s="417"/>
      <c r="N379" s="417"/>
      <c r="O379" s="417"/>
    </row>
    <row r="380" spans="2:15" s="416" customFormat="1" ht="15" customHeight="1">
      <c r="B380" s="422"/>
      <c r="C380" s="417"/>
      <c r="D380" s="417"/>
      <c r="E380" s="417"/>
      <c r="F380" s="417"/>
      <c r="G380" s="417"/>
      <c r="H380" s="417"/>
      <c r="I380" s="417"/>
      <c r="J380" s="417"/>
      <c r="K380" s="417"/>
      <c r="L380" s="417"/>
      <c r="M380" s="417"/>
      <c r="N380" s="417"/>
      <c r="O380" s="417"/>
    </row>
    <row r="381" spans="2:15" s="416" customFormat="1" ht="15" customHeight="1">
      <c r="B381" s="422"/>
      <c r="C381" s="417"/>
      <c r="D381" s="417"/>
      <c r="E381" s="417"/>
      <c r="F381" s="417"/>
      <c r="G381" s="417"/>
      <c r="H381" s="417"/>
      <c r="I381" s="417"/>
      <c r="J381" s="417"/>
      <c r="K381" s="417"/>
      <c r="L381" s="417"/>
      <c r="M381" s="417"/>
      <c r="N381" s="417"/>
      <c r="O381" s="417"/>
    </row>
    <row r="382" spans="2:15" s="416" customFormat="1" ht="15" customHeight="1">
      <c r="B382" s="422"/>
      <c r="C382" s="417"/>
      <c r="D382" s="417"/>
      <c r="E382" s="417"/>
      <c r="F382" s="417"/>
      <c r="G382" s="417"/>
      <c r="H382" s="417"/>
      <c r="I382" s="417"/>
      <c r="J382" s="417"/>
      <c r="K382" s="417"/>
      <c r="L382" s="417"/>
      <c r="M382" s="417"/>
      <c r="N382" s="417"/>
      <c r="O382" s="417"/>
    </row>
    <row r="383" spans="2:15" s="416" customFormat="1" ht="15" customHeight="1">
      <c r="B383" s="422"/>
      <c r="C383" s="417"/>
      <c r="D383" s="417"/>
      <c r="E383" s="417"/>
      <c r="F383" s="417"/>
      <c r="G383" s="417"/>
      <c r="H383" s="417"/>
      <c r="I383" s="417"/>
      <c r="J383" s="417"/>
      <c r="K383" s="417"/>
      <c r="L383" s="417"/>
      <c r="M383" s="417"/>
      <c r="N383" s="417"/>
      <c r="O383" s="417"/>
    </row>
    <row r="384" spans="2:15" s="416" customFormat="1" ht="15" customHeight="1">
      <c r="B384" s="422"/>
      <c r="C384" s="417"/>
      <c r="D384" s="417"/>
      <c r="E384" s="417"/>
      <c r="F384" s="417"/>
      <c r="G384" s="417"/>
      <c r="H384" s="417"/>
      <c r="I384" s="417"/>
      <c r="J384" s="417"/>
      <c r="K384" s="417"/>
      <c r="L384" s="417"/>
      <c r="M384" s="417"/>
      <c r="N384" s="417"/>
      <c r="O384" s="417"/>
    </row>
    <row r="385" spans="2:15" s="416" customFormat="1" ht="15" customHeight="1">
      <c r="B385" s="422"/>
      <c r="C385" s="417"/>
      <c r="D385" s="417"/>
      <c r="E385" s="417"/>
      <c r="F385" s="417"/>
      <c r="G385" s="417"/>
      <c r="H385" s="417"/>
      <c r="I385" s="417"/>
      <c r="J385" s="417"/>
      <c r="K385" s="417"/>
      <c r="L385" s="417"/>
      <c r="M385" s="417"/>
      <c r="N385" s="417"/>
      <c r="O385" s="417"/>
    </row>
    <row r="386" spans="2:15" s="416" customFormat="1" ht="15" customHeight="1">
      <c r="B386" s="422"/>
      <c r="C386" s="417"/>
      <c r="D386" s="417"/>
      <c r="E386" s="417"/>
      <c r="F386" s="417"/>
      <c r="G386" s="417"/>
      <c r="H386" s="417"/>
      <c r="I386" s="417"/>
      <c r="J386" s="417"/>
      <c r="K386" s="417"/>
      <c r="L386" s="417"/>
      <c r="M386" s="417"/>
      <c r="N386" s="417"/>
      <c r="O386" s="417"/>
    </row>
    <row r="387" spans="2:15" s="416" customFormat="1" ht="15" customHeight="1">
      <c r="B387" s="422"/>
      <c r="C387" s="417"/>
      <c r="D387" s="417"/>
      <c r="E387" s="417"/>
      <c r="F387" s="417"/>
      <c r="G387" s="417"/>
      <c r="H387" s="417"/>
      <c r="I387" s="417"/>
      <c r="J387" s="417"/>
      <c r="K387" s="417"/>
      <c r="L387" s="417"/>
      <c r="M387" s="417"/>
      <c r="N387" s="417"/>
      <c r="O387" s="417"/>
    </row>
    <row r="388" spans="2:15" s="416" customFormat="1" ht="15" customHeight="1">
      <c r="B388" s="422"/>
      <c r="C388" s="417"/>
      <c r="D388" s="417"/>
      <c r="E388" s="417"/>
      <c r="F388" s="417"/>
      <c r="G388" s="417"/>
      <c r="H388" s="417"/>
      <c r="I388" s="417"/>
      <c r="J388" s="417"/>
      <c r="K388" s="417"/>
      <c r="L388" s="417"/>
      <c r="M388" s="417"/>
      <c r="N388" s="417"/>
      <c r="O388" s="417"/>
    </row>
    <row r="389" spans="2:15" s="416" customFormat="1" ht="15" customHeight="1">
      <c r="B389" s="422"/>
      <c r="C389" s="417"/>
      <c r="D389" s="417"/>
      <c r="E389" s="417"/>
      <c r="F389" s="417"/>
      <c r="G389" s="417"/>
      <c r="H389" s="417"/>
      <c r="I389" s="417"/>
      <c r="J389" s="417"/>
      <c r="K389" s="417"/>
      <c r="L389" s="417"/>
      <c r="M389" s="417"/>
      <c r="N389" s="417"/>
      <c r="O389" s="417"/>
    </row>
    <row r="390" spans="2:15" s="416" customFormat="1" ht="15" customHeight="1">
      <c r="B390" s="422"/>
      <c r="C390" s="417"/>
      <c r="D390" s="417"/>
      <c r="E390" s="417"/>
      <c r="F390" s="417"/>
      <c r="G390" s="417"/>
      <c r="H390" s="417"/>
      <c r="I390" s="417"/>
      <c r="J390" s="417"/>
      <c r="K390" s="417"/>
      <c r="L390" s="417"/>
      <c r="M390" s="417"/>
      <c r="N390" s="417"/>
      <c r="O390" s="417"/>
    </row>
    <row r="391" spans="2:15" s="416" customFormat="1" ht="15" customHeight="1">
      <c r="B391" s="422"/>
      <c r="C391" s="417"/>
      <c r="D391" s="417"/>
      <c r="E391" s="417"/>
      <c r="F391" s="417"/>
      <c r="G391" s="417"/>
      <c r="H391" s="417"/>
      <c r="I391" s="417"/>
      <c r="J391" s="417"/>
      <c r="K391" s="417"/>
      <c r="L391" s="417"/>
      <c r="M391" s="417"/>
      <c r="N391" s="417"/>
      <c r="O391" s="417"/>
    </row>
    <row r="392" spans="2:15" s="416" customFormat="1" ht="15" customHeight="1">
      <c r="B392" s="422"/>
      <c r="C392" s="417"/>
      <c r="D392" s="417"/>
      <c r="E392" s="417"/>
      <c r="F392" s="417"/>
      <c r="G392" s="417"/>
      <c r="H392" s="417"/>
      <c r="I392" s="417"/>
      <c r="J392" s="417"/>
      <c r="K392" s="417"/>
      <c r="L392" s="417"/>
      <c r="M392" s="417"/>
      <c r="N392" s="417"/>
      <c r="O392" s="417"/>
    </row>
    <row r="393" spans="2:15" s="416" customFormat="1" ht="15" customHeight="1">
      <c r="B393" s="422"/>
      <c r="C393" s="417"/>
      <c r="D393" s="417"/>
      <c r="E393" s="417"/>
      <c r="F393" s="417"/>
      <c r="G393" s="417"/>
      <c r="H393" s="417"/>
      <c r="I393" s="417"/>
      <c r="J393" s="417"/>
      <c r="K393" s="417"/>
      <c r="L393" s="417"/>
      <c r="M393" s="417"/>
      <c r="N393" s="417"/>
      <c r="O393" s="417"/>
    </row>
    <row r="394" spans="2:15" s="416" customFormat="1" ht="15" customHeight="1">
      <c r="B394" s="422"/>
      <c r="C394" s="417"/>
      <c r="D394" s="417"/>
      <c r="E394" s="417"/>
      <c r="F394" s="417"/>
      <c r="G394" s="417"/>
      <c r="H394" s="417"/>
      <c r="I394" s="417"/>
      <c r="J394" s="417"/>
      <c r="K394" s="417"/>
      <c r="L394" s="417"/>
      <c r="M394" s="417"/>
      <c r="N394" s="417"/>
      <c r="O394" s="417"/>
    </row>
    <row r="395" spans="2:15" s="416" customFormat="1" ht="15" customHeight="1">
      <c r="B395" s="422"/>
      <c r="C395" s="417"/>
      <c r="D395" s="417"/>
      <c r="E395" s="417"/>
      <c r="F395" s="417"/>
      <c r="G395" s="417"/>
      <c r="H395" s="417"/>
      <c r="I395" s="417"/>
      <c r="J395" s="417"/>
      <c r="K395" s="417"/>
      <c r="L395" s="417"/>
      <c r="M395" s="417"/>
      <c r="N395" s="417"/>
      <c r="O395" s="417"/>
    </row>
    <row r="396" spans="2:15" s="416" customFormat="1" ht="15" customHeight="1">
      <c r="B396" s="422"/>
      <c r="C396" s="417"/>
      <c r="D396" s="417"/>
      <c r="E396" s="417"/>
      <c r="F396" s="417"/>
      <c r="G396" s="417"/>
      <c r="H396" s="417"/>
      <c r="I396" s="417"/>
      <c r="J396" s="417"/>
      <c r="K396" s="417"/>
      <c r="L396" s="417"/>
      <c r="M396" s="417"/>
      <c r="N396" s="417"/>
      <c r="O396" s="417"/>
    </row>
    <row r="397" spans="2:15" s="416" customFormat="1" ht="15" customHeight="1">
      <c r="B397" s="422"/>
      <c r="C397" s="417"/>
      <c r="D397" s="417"/>
      <c r="E397" s="417"/>
      <c r="F397" s="417"/>
      <c r="G397" s="417"/>
      <c r="H397" s="417"/>
      <c r="I397" s="417"/>
      <c r="J397" s="417"/>
      <c r="K397" s="417"/>
      <c r="L397" s="417"/>
      <c r="M397" s="417"/>
      <c r="N397" s="417"/>
      <c r="O397" s="417"/>
    </row>
    <row r="398" spans="2:15" s="416" customFormat="1" ht="15" customHeight="1">
      <c r="B398" s="422"/>
      <c r="C398" s="417"/>
      <c r="D398" s="417"/>
      <c r="E398" s="417"/>
      <c r="F398" s="417"/>
      <c r="G398" s="417"/>
      <c r="H398" s="417"/>
      <c r="I398" s="417"/>
      <c r="J398" s="417"/>
      <c r="K398" s="417"/>
      <c r="L398" s="417"/>
      <c r="M398" s="417"/>
      <c r="N398" s="417"/>
      <c r="O398" s="417"/>
    </row>
    <row r="399" spans="2:15" s="416" customFormat="1" ht="15" customHeight="1">
      <c r="B399" s="422"/>
      <c r="C399" s="417"/>
      <c r="D399" s="417"/>
      <c r="E399" s="417"/>
      <c r="F399" s="417"/>
      <c r="G399" s="417"/>
      <c r="H399" s="417"/>
      <c r="I399" s="417"/>
      <c r="J399" s="417"/>
      <c r="K399" s="417"/>
      <c r="L399" s="417"/>
      <c r="M399" s="417"/>
      <c r="N399" s="417"/>
      <c r="O399" s="417"/>
    </row>
    <row r="400" spans="2:15" s="416" customFormat="1" ht="15" customHeight="1">
      <c r="B400" s="422"/>
      <c r="C400" s="417"/>
      <c r="D400" s="417"/>
      <c r="E400" s="417"/>
      <c r="F400" s="417"/>
      <c r="G400" s="417"/>
      <c r="H400" s="417"/>
      <c r="I400" s="417"/>
      <c r="J400" s="417"/>
      <c r="K400" s="417"/>
      <c r="L400" s="417"/>
      <c r="M400" s="417"/>
      <c r="N400" s="417"/>
      <c r="O400" s="417"/>
    </row>
    <row r="401" spans="2:15" s="416" customFormat="1" ht="15" customHeight="1">
      <c r="B401" s="422"/>
      <c r="C401" s="417"/>
      <c r="D401" s="417"/>
      <c r="E401" s="417"/>
      <c r="F401" s="417"/>
      <c r="G401" s="417"/>
      <c r="H401" s="417"/>
      <c r="I401" s="417"/>
      <c r="J401" s="417"/>
      <c r="K401" s="417"/>
      <c r="L401" s="417"/>
      <c r="M401" s="417"/>
      <c r="N401" s="417"/>
      <c r="O401" s="417"/>
    </row>
    <row r="402" spans="2:15" s="416" customFormat="1" ht="15" customHeight="1">
      <c r="B402" s="422"/>
      <c r="C402" s="417"/>
      <c r="D402" s="417"/>
      <c r="E402" s="417"/>
      <c r="F402" s="417"/>
      <c r="G402" s="417"/>
      <c r="H402" s="417"/>
      <c r="I402" s="417"/>
      <c r="J402" s="417"/>
      <c r="K402" s="417"/>
      <c r="L402" s="417"/>
      <c r="M402" s="417"/>
      <c r="N402" s="417"/>
      <c r="O402" s="417"/>
    </row>
    <row r="403" spans="2:15" s="416" customFormat="1" ht="15" customHeight="1">
      <c r="B403" s="422"/>
      <c r="C403" s="417"/>
      <c r="D403" s="417"/>
      <c r="E403" s="417"/>
      <c r="F403" s="417"/>
      <c r="G403" s="417"/>
      <c r="H403" s="417"/>
      <c r="I403" s="417"/>
      <c r="J403" s="417"/>
      <c r="K403" s="417"/>
      <c r="L403" s="417"/>
      <c r="M403" s="417"/>
      <c r="N403" s="417"/>
      <c r="O403" s="417"/>
    </row>
    <row r="404" spans="2:15" s="416" customFormat="1" ht="15" customHeight="1">
      <c r="B404" s="422"/>
      <c r="C404" s="417"/>
      <c r="D404" s="417"/>
      <c r="E404" s="417"/>
      <c r="F404" s="417"/>
      <c r="G404" s="417"/>
      <c r="H404" s="417"/>
      <c r="I404" s="417"/>
      <c r="J404" s="417"/>
      <c r="K404" s="417"/>
      <c r="L404" s="417"/>
      <c r="M404" s="417"/>
      <c r="N404" s="417"/>
      <c r="O404" s="417"/>
    </row>
    <row r="405" spans="2:15" s="416" customFormat="1" ht="15" customHeight="1">
      <c r="B405" s="422"/>
      <c r="C405" s="417"/>
      <c r="D405" s="417"/>
      <c r="E405" s="417"/>
      <c r="F405" s="417"/>
      <c r="G405" s="417"/>
      <c r="H405" s="417"/>
      <c r="I405" s="417"/>
      <c r="J405" s="417"/>
      <c r="K405" s="417"/>
      <c r="L405" s="417"/>
      <c r="M405" s="417"/>
      <c r="N405" s="417"/>
      <c r="O405" s="417"/>
    </row>
    <row r="406" spans="2:15" s="416" customFormat="1" ht="15" customHeight="1">
      <c r="B406" s="422"/>
      <c r="C406" s="417"/>
      <c r="D406" s="417"/>
      <c r="E406" s="417"/>
      <c r="F406" s="417"/>
      <c r="G406" s="417"/>
      <c r="H406" s="417"/>
      <c r="I406" s="417"/>
      <c r="J406" s="417"/>
      <c r="K406" s="417"/>
      <c r="L406" s="417"/>
      <c r="M406" s="417"/>
      <c r="N406" s="417"/>
      <c r="O406" s="417"/>
    </row>
    <row r="407" spans="2:15" s="416" customFormat="1" ht="15" customHeight="1">
      <c r="B407" s="422"/>
      <c r="C407" s="417"/>
      <c r="D407" s="417"/>
      <c r="E407" s="417"/>
      <c r="F407" s="417"/>
      <c r="G407" s="417"/>
      <c r="H407" s="417"/>
      <c r="I407" s="417"/>
      <c r="J407" s="417"/>
      <c r="K407" s="417"/>
      <c r="L407" s="417"/>
      <c r="M407" s="417"/>
      <c r="N407" s="417"/>
      <c r="O407" s="417"/>
    </row>
    <row r="408" spans="2:15" s="416" customFormat="1" ht="15" customHeight="1">
      <c r="B408" s="422"/>
      <c r="C408" s="417"/>
      <c r="D408" s="417"/>
      <c r="E408" s="417"/>
      <c r="F408" s="417"/>
      <c r="G408" s="417"/>
      <c r="H408" s="417"/>
      <c r="I408" s="417"/>
      <c r="J408" s="417"/>
      <c r="K408" s="417"/>
      <c r="L408" s="417"/>
      <c r="M408" s="417"/>
      <c r="N408" s="417"/>
      <c r="O408" s="417"/>
    </row>
    <row r="409" spans="2:15" s="416" customFormat="1" ht="15" customHeight="1">
      <c r="B409" s="422"/>
      <c r="C409" s="417"/>
      <c r="D409" s="417"/>
      <c r="E409" s="417"/>
      <c r="F409" s="417"/>
      <c r="G409" s="417"/>
      <c r="H409" s="417"/>
      <c r="I409" s="417"/>
      <c r="J409" s="417"/>
      <c r="K409" s="417"/>
      <c r="L409" s="417"/>
      <c r="M409" s="417"/>
      <c r="N409" s="417"/>
      <c r="O409" s="417"/>
    </row>
    <row r="410" spans="2:15" s="416" customFormat="1" ht="15" customHeight="1">
      <c r="B410" s="422"/>
      <c r="C410" s="417"/>
      <c r="D410" s="417"/>
      <c r="E410" s="417"/>
      <c r="F410" s="417"/>
      <c r="G410" s="417"/>
      <c r="H410" s="417"/>
      <c r="I410" s="417"/>
      <c r="J410" s="417"/>
      <c r="K410" s="417"/>
      <c r="L410" s="417"/>
      <c r="M410" s="417"/>
      <c r="N410" s="417"/>
      <c r="O410" s="417"/>
    </row>
    <row r="411" spans="2:15" s="416" customFormat="1" ht="15" customHeight="1">
      <c r="B411" s="422"/>
      <c r="C411" s="417"/>
      <c r="D411" s="417"/>
      <c r="E411" s="417"/>
      <c r="F411" s="417"/>
      <c r="G411" s="417"/>
      <c r="H411" s="417"/>
      <c r="I411" s="417"/>
      <c r="J411" s="417"/>
      <c r="K411" s="417"/>
      <c r="L411" s="417"/>
      <c r="M411" s="417"/>
      <c r="N411" s="417"/>
      <c r="O411" s="417"/>
    </row>
    <row r="412" spans="2:15" s="416" customFormat="1" ht="15" customHeight="1">
      <c r="B412" s="422"/>
      <c r="C412" s="417"/>
      <c r="D412" s="417"/>
      <c r="E412" s="417"/>
      <c r="F412" s="417"/>
      <c r="G412" s="417"/>
      <c r="H412" s="417"/>
      <c r="I412" s="417"/>
      <c r="J412" s="417"/>
      <c r="K412" s="417"/>
      <c r="L412" s="417"/>
      <c r="M412" s="417"/>
      <c r="N412" s="417"/>
      <c r="O412" s="417"/>
    </row>
    <row r="413" spans="2:15" s="416" customFormat="1" ht="15" customHeight="1">
      <c r="B413" s="422"/>
      <c r="C413" s="417"/>
      <c r="D413" s="417"/>
      <c r="E413" s="417"/>
      <c r="F413" s="417"/>
      <c r="G413" s="417"/>
      <c r="H413" s="417"/>
      <c r="I413" s="417"/>
      <c r="J413" s="417"/>
      <c r="K413" s="417"/>
      <c r="L413" s="417"/>
      <c r="M413" s="417"/>
      <c r="N413" s="417"/>
      <c r="O413" s="417"/>
    </row>
    <row r="414" spans="2:15" s="416" customFormat="1" ht="15" customHeight="1">
      <c r="B414" s="422"/>
      <c r="C414" s="417"/>
      <c r="D414" s="417"/>
      <c r="E414" s="417"/>
      <c r="F414" s="417"/>
      <c r="G414" s="417"/>
      <c r="H414" s="417"/>
      <c r="I414" s="417"/>
      <c r="J414" s="417"/>
      <c r="K414" s="417"/>
      <c r="L414" s="417"/>
      <c r="M414" s="417"/>
      <c r="N414" s="417"/>
      <c r="O414" s="417"/>
    </row>
    <row r="415" spans="2:15" s="416" customFormat="1" ht="15" customHeight="1">
      <c r="B415" s="422"/>
      <c r="C415" s="417"/>
      <c r="D415" s="417"/>
      <c r="E415" s="417"/>
      <c r="F415" s="417"/>
      <c r="G415" s="417"/>
      <c r="H415" s="417"/>
      <c r="I415" s="417"/>
      <c r="J415" s="417"/>
      <c r="K415" s="417"/>
      <c r="L415" s="417"/>
      <c r="M415" s="417"/>
      <c r="N415" s="417"/>
      <c r="O415" s="417"/>
    </row>
    <row r="416" spans="2:15" s="416" customFormat="1" ht="15" customHeight="1">
      <c r="B416" s="422"/>
      <c r="C416" s="417"/>
      <c r="D416" s="417"/>
      <c r="E416" s="417"/>
      <c r="F416" s="417"/>
      <c r="G416" s="417"/>
      <c r="H416" s="417"/>
      <c r="I416" s="417"/>
      <c r="J416" s="417"/>
      <c r="K416" s="417"/>
      <c r="L416" s="417"/>
      <c r="M416" s="417"/>
      <c r="N416" s="417"/>
      <c r="O416" s="417"/>
    </row>
    <row r="417" spans="2:15" s="416" customFormat="1" ht="15" customHeight="1">
      <c r="B417" s="422"/>
      <c r="C417" s="417"/>
      <c r="D417" s="417"/>
      <c r="E417" s="417"/>
      <c r="F417" s="417"/>
      <c r="G417" s="417"/>
      <c r="H417" s="417"/>
      <c r="I417" s="417"/>
      <c r="J417" s="417"/>
      <c r="K417" s="417"/>
      <c r="L417" s="417"/>
      <c r="M417" s="417"/>
      <c r="N417" s="417"/>
      <c r="O417" s="417"/>
    </row>
    <row r="418" spans="2:15" s="416" customFormat="1" ht="15" customHeight="1">
      <c r="B418" s="422"/>
      <c r="C418" s="417"/>
      <c r="D418" s="417"/>
      <c r="E418" s="417"/>
      <c r="F418" s="417"/>
      <c r="G418" s="417"/>
      <c r="H418" s="417"/>
      <c r="I418" s="417"/>
      <c r="J418" s="417"/>
      <c r="K418" s="417"/>
      <c r="L418" s="417"/>
      <c r="M418" s="417"/>
      <c r="N418" s="417"/>
      <c r="O418" s="417"/>
    </row>
    <row r="419" spans="2:15" s="416" customFormat="1" ht="15" customHeight="1">
      <c r="B419" s="422"/>
      <c r="C419" s="417"/>
      <c r="D419" s="417"/>
      <c r="E419" s="417"/>
      <c r="F419" s="417"/>
      <c r="G419" s="417"/>
      <c r="H419" s="417"/>
      <c r="I419" s="417"/>
      <c r="J419" s="417"/>
      <c r="K419" s="417"/>
      <c r="L419" s="417"/>
      <c r="M419" s="417"/>
      <c r="N419" s="417"/>
      <c r="O419" s="417"/>
    </row>
    <row r="420" spans="2:15" s="416" customFormat="1" ht="15" customHeight="1">
      <c r="B420" s="422"/>
      <c r="C420" s="417"/>
      <c r="D420" s="417"/>
      <c r="E420" s="417"/>
      <c r="F420" s="417"/>
      <c r="G420" s="417"/>
      <c r="H420" s="417"/>
      <c r="I420" s="417"/>
      <c r="J420" s="417"/>
      <c r="K420" s="417"/>
      <c r="L420" s="417"/>
      <c r="M420" s="417"/>
      <c r="N420" s="417"/>
      <c r="O420" s="417"/>
    </row>
    <row r="421" spans="2:15" s="416" customFormat="1" ht="15" customHeight="1">
      <c r="B421" s="422"/>
      <c r="C421" s="417"/>
      <c r="D421" s="417"/>
      <c r="E421" s="417"/>
      <c r="F421" s="417"/>
      <c r="G421" s="417"/>
      <c r="H421" s="417"/>
      <c r="I421" s="417"/>
      <c r="J421" s="417"/>
      <c r="K421" s="417"/>
      <c r="L421" s="417"/>
      <c r="M421" s="417"/>
      <c r="N421" s="417"/>
      <c r="O421" s="417"/>
    </row>
    <row r="422" spans="2:15" s="416" customFormat="1" ht="15" customHeight="1">
      <c r="B422" s="422"/>
      <c r="C422" s="417"/>
      <c r="D422" s="417"/>
      <c r="E422" s="417"/>
      <c r="F422" s="417"/>
      <c r="G422" s="417"/>
      <c r="H422" s="417"/>
      <c r="I422" s="417"/>
      <c r="J422" s="417"/>
      <c r="K422" s="417"/>
      <c r="L422" s="417"/>
      <c r="M422" s="417"/>
      <c r="N422" s="417"/>
      <c r="O422" s="417"/>
    </row>
    <row r="423" spans="2:15" s="416" customFormat="1" ht="15" customHeight="1">
      <c r="B423" s="422"/>
      <c r="C423" s="417"/>
      <c r="D423" s="417"/>
      <c r="E423" s="417"/>
      <c r="F423" s="417"/>
      <c r="G423" s="417"/>
      <c r="H423" s="417"/>
      <c r="I423" s="417"/>
      <c r="J423" s="417"/>
      <c r="K423" s="417"/>
      <c r="L423" s="417"/>
      <c r="M423" s="417"/>
      <c r="N423" s="417"/>
      <c r="O423" s="417"/>
    </row>
    <row r="424" spans="2:15" s="416" customFormat="1" ht="15" customHeight="1">
      <c r="B424" s="422"/>
      <c r="C424" s="417"/>
      <c r="D424" s="417"/>
      <c r="E424" s="417"/>
      <c r="F424" s="417"/>
      <c r="G424" s="417"/>
      <c r="H424" s="417"/>
      <c r="I424" s="417"/>
      <c r="J424" s="417"/>
      <c r="K424" s="417"/>
      <c r="L424" s="417"/>
      <c r="M424" s="417"/>
      <c r="N424" s="417"/>
      <c r="O424" s="417"/>
    </row>
    <row r="425" spans="2:15" s="416" customFormat="1" ht="15" customHeight="1">
      <c r="B425" s="422"/>
      <c r="C425" s="417"/>
      <c r="D425" s="417"/>
      <c r="E425" s="417"/>
      <c r="F425" s="417"/>
      <c r="G425" s="417"/>
      <c r="H425" s="417"/>
      <c r="I425" s="417"/>
      <c r="J425" s="417"/>
      <c r="K425" s="417"/>
      <c r="L425" s="417"/>
      <c r="M425" s="417"/>
      <c r="N425" s="417"/>
      <c r="O425" s="417"/>
    </row>
    <row r="426" spans="2:15" s="416" customFormat="1" ht="15" customHeight="1">
      <c r="B426" s="422"/>
      <c r="C426" s="417"/>
      <c r="D426" s="417"/>
      <c r="E426" s="417"/>
      <c r="F426" s="417"/>
      <c r="G426" s="417"/>
      <c r="H426" s="417"/>
      <c r="I426" s="417"/>
      <c r="J426" s="417"/>
      <c r="K426" s="417"/>
      <c r="L426" s="417"/>
      <c r="M426" s="417"/>
      <c r="N426" s="417"/>
      <c r="O426" s="417"/>
    </row>
    <row r="427" spans="2:15" s="416" customFormat="1" ht="15" customHeight="1">
      <c r="B427" s="422"/>
      <c r="C427" s="417"/>
      <c r="D427" s="417"/>
      <c r="E427" s="417"/>
      <c r="F427" s="417"/>
      <c r="G427" s="417"/>
      <c r="H427" s="417"/>
      <c r="I427" s="417"/>
      <c r="J427" s="417"/>
      <c r="K427" s="417"/>
      <c r="L427" s="417"/>
      <c r="M427" s="417"/>
      <c r="N427" s="417"/>
      <c r="O427" s="417"/>
    </row>
    <row r="428" spans="2:15" s="416" customFormat="1" ht="15" customHeight="1">
      <c r="B428" s="422"/>
      <c r="C428" s="417"/>
      <c r="D428" s="417"/>
      <c r="E428" s="417"/>
      <c r="F428" s="417"/>
      <c r="G428" s="417"/>
      <c r="H428" s="417"/>
      <c r="I428" s="417"/>
      <c r="J428" s="417"/>
      <c r="K428" s="417"/>
      <c r="L428" s="417"/>
      <c r="M428" s="417"/>
      <c r="N428" s="417"/>
      <c r="O428" s="417"/>
    </row>
    <row r="429" spans="2:15" s="416" customFormat="1" ht="15" customHeight="1">
      <c r="B429" s="422"/>
      <c r="C429" s="417"/>
      <c r="D429" s="417"/>
      <c r="E429" s="417"/>
      <c r="F429" s="417"/>
      <c r="G429" s="417"/>
      <c r="H429" s="417"/>
      <c r="I429" s="417"/>
      <c r="J429" s="417"/>
      <c r="K429" s="417"/>
      <c r="L429" s="417"/>
      <c r="M429" s="417"/>
      <c r="N429" s="417"/>
      <c r="O429" s="417"/>
    </row>
    <row r="430" spans="2:15" s="416" customFormat="1" ht="15" customHeight="1">
      <c r="B430" s="422"/>
      <c r="C430" s="417"/>
      <c r="D430" s="417"/>
      <c r="E430" s="417"/>
      <c r="F430" s="417"/>
      <c r="G430" s="417"/>
      <c r="H430" s="417"/>
      <c r="I430" s="417"/>
      <c r="J430" s="417"/>
      <c r="K430" s="417"/>
      <c r="L430" s="417"/>
      <c r="M430" s="417"/>
      <c r="N430" s="417"/>
      <c r="O430" s="417"/>
    </row>
    <row r="431" spans="2:15" s="416" customFormat="1" ht="15" customHeight="1">
      <c r="B431" s="422"/>
      <c r="C431" s="417"/>
      <c r="D431" s="417"/>
      <c r="E431" s="417"/>
      <c r="F431" s="417"/>
      <c r="G431" s="417"/>
      <c r="H431" s="417"/>
      <c r="I431" s="417"/>
      <c r="J431" s="417"/>
      <c r="K431" s="417"/>
      <c r="L431" s="417"/>
      <c r="M431" s="417"/>
      <c r="N431" s="417"/>
      <c r="O431" s="417"/>
    </row>
    <row r="432" spans="2:15" s="416" customFormat="1" ht="15" customHeight="1">
      <c r="B432" s="422"/>
      <c r="C432" s="417"/>
      <c r="D432" s="417"/>
      <c r="E432" s="417"/>
      <c r="F432" s="417"/>
      <c r="G432" s="417"/>
      <c r="H432" s="417"/>
      <c r="I432" s="417"/>
      <c r="J432" s="417"/>
      <c r="K432" s="417"/>
      <c r="L432" s="417"/>
      <c r="M432" s="417"/>
      <c r="N432" s="417"/>
      <c r="O432" s="417"/>
    </row>
    <row r="433" spans="2:15" s="416" customFormat="1" ht="15" customHeight="1">
      <c r="B433" s="422"/>
      <c r="C433" s="417"/>
      <c r="D433" s="417"/>
      <c r="E433" s="417"/>
      <c r="F433" s="417"/>
      <c r="G433" s="417"/>
      <c r="H433" s="417"/>
      <c r="I433" s="417"/>
      <c r="J433" s="417"/>
      <c r="K433" s="417"/>
      <c r="L433" s="417"/>
      <c r="M433" s="417"/>
      <c r="N433" s="417"/>
      <c r="O433" s="417"/>
    </row>
    <row r="434" spans="2:15" s="416" customFormat="1" ht="15" customHeight="1">
      <c r="B434" s="422"/>
      <c r="C434" s="417"/>
      <c r="D434" s="417"/>
      <c r="E434" s="417"/>
      <c r="F434" s="417"/>
      <c r="G434" s="417"/>
      <c r="H434" s="417"/>
      <c r="I434" s="417"/>
      <c r="J434" s="417"/>
      <c r="K434" s="417"/>
      <c r="L434" s="417"/>
      <c r="M434" s="417"/>
      <c r="N434" s="417"/>
      <c r="O434" s="417"/>
    </row>
    <row r="435" spans="2:15" s="416" customFormat="1" ht="15" customHeight="1">
      <c r="B435" s="422"/>
      <c r="C435" s="417"/>
      <c r="D435" s="417"/>
      <c r="E435" s="417"/>
      <c r="F435" s="417"/>
      <c r="G435" s="417"/>
      <c r="H435" s="417"/>
      <c r="I435" s="417"/>
      <c r="J435" s="417"/>
      <c r="K435" s="417"/>
      <c r="L435" s="417"/>
      <c r="M435" s="417"/>
      <c r="N435" s="417"/>
      <c r="O435" s="417"/>
    </row>
    <row r="436" spans="2:15" s="416" customFormat="1" ht="15" customHeight="1">
      <c r="B436" s="422"/>
      <c r="C436" s="417"/>
      <c r="D436" s="417"/>
      <c r="E436" s="417"/>
      <c r="F436" s="417"/>
      <c r="G436" s="417"/>
      <c r="H436" s="417"/>
      <c r="I436" s="417"/>
      <c r="J436" s="417"/>
      <c r="K436" s="417"/>
      <c r="L436" s="417"/>
      <c r="M436" s="417"/>
      <c r="N436" s="417"/>
      <c r="O436" s="417"/>
    </row>
    <row r="437" spans="2:15" s="416" customFormat="1" ht="15" customHeight="1">
      <c r="B437" s="422"/>
      <c r="C437" s="417"/>
      <c r="D437" s="417"/>
      <c r="E437" s="417"/>
      <c r="F437" s="417"/>
      <c r="G437" s="417"/>
      <c r="H437" s="417"/>
      <c r="I437" s="417"/>
      <c r="J437" s="417"/>
      <c r="K437" s="417"/>
      <c r="L437" s="417"/>
      <c r="M437" s="417"/>
      <c r="N437" s="417"/>
      <c r="O437" s="417"/>
    </row>
    <row r="438" spans="2:15" s="416" customFormat="1" ht="15" customHeight="1">
      <c r="B438" s="422"/>
      <c r="C438" s="417"/>
      <c r="D438" s="417"/>
      <c r="E438" s="417"/>
      <c r="F438" s="417"/>
      <c r="G438" s="417"/>
      <c r="H438" s="417"/>
      <c r="I438" s="417"/>
      <c r="J438" s="417"/>
      <c r="K438" s="417"/>
      <c r="L438" s="417"/>
      <c r="M438" s="417"/>
      <c r="N438" s="417"/>
      <c r="O438" s="417"/>
    </row>
    <row r="439" spans="2:15" s="416" customFormat="1" ht="15" customHeight="1">
      <c r="B439" s="422"/>
      <c r="C439" s="417"/>
      <c r="D439" s="417"/>
      <c r="E439" s="417"/>
      <c r="F439" s="417"/>
      <c r="G439" s="417"/>
      <c r="H439" s="417"/>
      <c r="I439" s="417"/>
      <c r="J439" s="417"/>
      <c r="K439" s="417"/>
      <c r="L439" s="417"/>
      <c r="M439" s="417"/>
      <c r="N439" s="417"/>
      <c r="O439" s="417"/>
    </row>
    <row r="440" spans="2:15" s="416" customFormat="1" ht="15" customHeight="1">
      <c r="B440" s="422"/>
      <c r="C440" s="417"/>
      <c r="D440" s="417"/>
      <c r="E440" s="417"/>
      <c r="F440" s="417"/>
      <c r="G440" s="417"/>
      <c r="H440" s="417"/>
      <c r="I440" s="417"/>
      <c r="J440" s="417"/>
      <c r="K440" s="417"/>
      <c r="L440" s="417"/>
      <c r="M440" s="417"/>
      <c r="N440" s="417"/>
      <c r="O440" s="417"/>
    </row>
    <row r="441" spans="2:15" s="416" customFormat="1" ht="15" customHeight="1">
      <c r="B441" s="422"/>
      <c r="C441" s="417"/>
      <c r="D441" s="417"/>
      <c r="E441" s="417"/>
      <c r="F441" s="417"/>
      <c r="G441" s="417"/>
      <c r="H441" s="417"/>
      <c r="I441" s="417"/>
      <c r="J441" s="417"/>
      <c r="K441" s="417"/>
      <c r="L441" s="417"/>
      <c r="M441" s="417"/>
      <c r="N441" s="417"/>
      <c r="O441" s="417"/>
    </row>
    <row r="442" spans="2:15" s="416" customFormat="1" ht="15" customHeight="1">
      <c r="B442" s="422"/>
      <c r="C442" s="417"/>
      <c r="D442" s="417"/>
      <c r="E442" s="417"/>
      <c r="F442" s="417"/>
      <c r="G442" s="417"/>
      <c r="H442" s="417"/>
      <c r="I442" s="417"/>
      <c r="J442" s="417"/>
      <c r="K442" s="417"/>
      <c r="L442" s="417"/>
      <c r="M442" s="417"/>
      <c r="N442" s="417"/>
      <c r="O442" s="417"/>
    </row>
    <row r="443" spans="2:15" s="416" customFormat="1" ht="15" customHeight="1">
      <c r="B443" s="422"/>
      <c r="C443" s="417"/>
      <c r="D443" s="417"/>
      <c r="E443" s="417"/>
      <c r="F443" s="417"/>
      <c r="G443" s="417"/>
      <c r="H443" s="417"/>
      <c r="I443" s="417"/>
      <c r="J443" s="417"/>
      <c r="K443" s="417"/>
      <c r="L443" s="417"/>
      <c r="M443" s="417"/>
      <c r="N443" s="417"/>
      <c r="O443" s="417"/>
    </row>
    <row r="444" spans="2:15" s="416" customFormat="1" ht="15" customHeight="1">
      <c r="B444" s="422"/>
      <c r="C444" s="417"/>
      <c r="D444" s="417"/>
      <c r="E444" s="417"/>
      <c r="F444" s="417"/>
      <c r="G444" s="417"/>
      <c r="H444" s="417"/>
      <c r="I444" s="417"/>
      <c r="J444" s="417"/>
      <c r="K444" s="417"/>
      <c r="L444" s="417"/>
      <c r="M444" s="417"/>
      <c r="N444" s="417"/>
      <c r="O444" s="417"/>
    </row>
    <row r="445" spans="2:15" s="416" customFormat="1" ht="15" customHeight="1">
      <c r="B445" s="422"/>
      <c r="C445" s="417"/>
      <c r="D445" s="417"/>
      <c r="E445" s="417"/>
      <c r="F445" s="417"/>
      <c r="G445" s="417"/>
      <c r="H445" s="417"/>
      <c r="I445" s="417"/>
      <c r="J445" s="417"/>
      <c r="K445" s="417"/>
      <c r="L445" s="417"/>
      <c r="M445" s="417"/>
      <c r="N445" s="417"/>
      <c r="O445" s="417"/>
    </row>
    <row r="446" spans="2:15" s="416" customFormat="1" ht="15" customHeight="1">
      <c r="B446" s="422"/>
      <c r="C446" s="417"/>
      <c r="D446" s="417"/>
      <c r="E446" s="417"/>
      <c r="F446" s="417"/>
      <c r="G446" s="417"/>
      <c r="H446" s="417"/>
      <c r="I446" s="417"/>
      <c r="J446" s="417"/>
      <c r="K446" s="417"/>
      <c r="L446" s="417"/>
      <c r="M446" s="417"/>
      <c r="N446" s="417"/>
      <c r="O446" s="417"/>
    </row>
    <row r="447" spans="2:15" s="416" customFormat="1" ht="15" customHeight="1">
      <c r="B447" s="422"/>
      <c r="C447" s="417"/>
      <c r="D447" s="417"/>
      <c r="E447" s="417"/>
      <c r="F447" s="417"/>
      <c r="G447" s="417"/>
      <c r="H447" s="417"/>
      <c r="I447" s="417"/>
      <c r="J447" s="417"/>
      <c r="K447" s="417"/>
      <c r="L447" s="417"/>
      <c r="M447" s="417"/>
      <c r="N447" s="417"/>
      <c r="O447" s="417"/>
    </row>
    <row r="448" spans="2:15" s="416" customFormat="1" ht="15" customHeight="1">
      <c r="B448" s="422"/>
      <c r="C448" s="417"/>
      <c r="D448" s="417"/>
      <c r="E448" s="417"/>
      <c r="F448" s="417"/>
      <c r="G448" s="417"/>
      <c r="H448" s="417"/>
      <c r="I448" s="417"/>
      <c r="J448" s="417"/>
      <c r="K448" s="417"/>
      <c r="L448" s="417"/>
      <c r="M448" s="417"/>
      <c r="N448" s="417"/>
      <c r="O448" s="417"/>
    </row>
    <row r="449" spans="2:15" s="416" customFormat="1" ht="15" customHeight="1">
      <c r="B449" s="422"/>
      <c r="C449" s="417"/>
      <c r="D449" s="417"/>
      <c r="E449" s="417"/>
      <c r="F449" s="417"/>
      <c r="G449" s="417"/>
      <c r="H449" s="417"/>
      <c r="I449" s="417"/>
      <c r="J449" s="417"/>
      <c r="K449" s="417"/>
      <c r="L449" s="417"/>
      <c r="M449" s="417"/>
      <c r="N449" s="417"/>
      <c r="O449" s="417"/>
    </row>
    <row r="450" spans="2:15" s="416" customFormat="1" ht="15" customHeight="1">
      <c r="B450" s="422"/>
      <c r="C450" s="417"/>
      <c r="D450" s="417"/>
      <c r="E450" s="417"/>
      <c r="F450" s="417"/>
      <c r="G450" s="417"/>
      <c r="H450" s="417"/>
      <c r="I450" s="417"/>
      <c r="J450" s="417"/>
      <c r="K450" s="417"/>
      <c r="L450" s="417"/>
      <c r="M450" s="417"/>
      <c r="N450" s="417"/>
      <c r="O450" s="417"/>
    </row>
    <row r="451" spans="2:15" s="416" customFormat="1" ht="15" customHeight="1">
      <c r="B451" s="422"/>
      <c r="C451" s="417"/>
      <c r="D451" s="417"/>
      <c r="E451" s="417"/>
      <c r="F451" s="417"/>
      <c r="G451" s="417"/>
      <c r="H451" s="417"/>
      <c r="I451" s="417"/>
      <c r="J451" s="417"/>
      <c r="K451" s="417"/>
      <c r="L451" s="417"/>
      <c r="M451" s="417"/>
      <c r="N451" s="417"/>
      <c r="O451" s="417"/>
    </row>
    <row r="452" spans="2:15" s="416" customFormat="1" ht="15" customHeight="1">
      <c r="B452" s="422"/>
      <c r="C452" s="417"/>
      <c r="D452" s="417"/>
      <c r="E452" s="417"/>
      <c r="F452" s="417"/>
      <c r="G452" s="417"/>
      <c r="H452" s="417"/>
      <c r="I452" s="417"/>
      <c r="J452" s="417"/>
      <c r="K452" s="417"/>
      <c r="L452" s="417"/>
      <c r="M452" s="417"/>
      <c r="N452" s="417"/>
      <c r="O452" s="417"/>
    </row>
    <row r="453" spans="2:15" s="416" customFormat="1" ht="15" customHeight="1">
      <c r="B453" s="422"/>
      <c r="C453" s="417"/>
      <c r="D453" s="417"/>
      <c r="E453" s="417"/>
      <c r="F453" s="417"/>
      <c r="G453" s="417"/>
      <c r="H453" s="417"/>
      <c r="I453" s="417"/>
      <c r="J453" s="417"/>
      <c r="K453" s="417"/>
      <c r="L453" s="417"/>
      <c r="M453" s="417"/>
      <c r="N453" s="417"/>
      <c r="O453" s="417"/>
    </row>
    <row r="454" spans="2:15" s="416" customFormat="1" ht="15" customHeight="1">
      <c r="B454" s="422"/>
      <c r="C454" s="417"/>
      <c r="D454" s="417"/>
      <c r="E454" s="417"/>
      <c r="F454" s="417"/>
      <c r="G454" s="417"/>
      <c r="H454" s="417"/>
      <c r="I454" s="417"/>
      <c r="J454" s="417"/>
      <c r="K454" s="417"/>
      <c r="L454" s="417"/>
      <c r="M454" s="417"/>
      <c r="N454" s="417"/>
      <c r="O454" s="417"/>
    </row>
    <row r="455" spans="2:15" s="416" customFormat="1" ht="15" customHeight="1">
      <c r="B455" s="422"/>
      <c r="C455" s="417"/>
      <c r="D455" s="417"/>
      <c r="E455" s="417"/>
      <c r="F455" s="417"/>
      <c r="G455" s="417"/>
      <c r="H455" s="417"/>
      <c r="I455" s="417"/>
      <c r="J455" s="417"/>
      <c r="K455" s="417"/>
      <c r="L455" s="417"/>
      <c r="M455" s="417"/>
      <c r="N455" s="417"/>
      <c r="O455" s="417"/>
    </row>
    <row r="456" spans="2:15" s="416" customFormat="1" ht="15" customHeight="1">
      <c r="B456" s="422"/>
      <c r="C456" s="417"/>
      <c r="D456" s="417"/>
      <c r="E456" s="417"/>
      <c r="F456" s="417"/>
      <c r="G456" s="417"/>
      <c r="H456" s="417"/>
      <c r="I456" s="417"/>
      <c r="J456" s="417"/>
      <c r="K456" s="417"/>
      <c r="L456" s="417"/>
      <c r="M456" s="417"/>
      <c r="N456" s="417"/>
      <c r="O456" s="417"/>
    </row>
    <row r="457" spans="2:15" s="416" customFormat="1" ht="15" customHeight="1">
      <c r="B457" s="422"/>
      <c r="C457" s="417"/>
      <c r="D457" s="417"/>
      <c r="E457" s="417"/>
      <c r="F457" s="417"/>
      <c r="G457" s="417"/>
      <c r="H457" s="417"/>
      <c r="I457" s="417"/>
      <c r="J457" s="417"/>
      <c r="K457" s="417"/>
      <c r="L457" s="417"/>
      <c r="M457" s="417"/>
      <c r="N457" s="417"/>
      <c r="O457" s="417"/>
    </row>
    <row r="458" spans="2:15" s="416" customFormat="1" ht="15" customHeight="1">
      <c r="B458" s="422"/>
      <c r="C458" s="417"/>
      <c r="D458" s="417"/>
      <c r="E458" s="417"/>
      <c r="F458" s="417"/>
      <c r="G458" s="417"/>
      <c r="H458" s="417"/>
      <c r="I458" s="417"/>
      <c r="J458" s="417"/>
      <c r="K458" s="417"/>
      <c r="L458" s="417"/>
      <c r="M458" s="417"/>
      <c r="N458" s="417"/>
      <c r="O458" s="417"/>
    </row>
    <row r="459" spans="2:15" s="416" customFormat="1" ht="15" customHeight="1">
      <c r="B459" s="422"/>
      <c r="C459" s="417"/>
      <c r="D459" s="417"/>
      <c r="E459" s="417"/>
      <c r="F459" s="417"/>
      <c r="G459" s="417"/>
      <c r="H459" s="417"/>
      <c r="I459" s="417"/>
      <c r="J459" s="417"/>
      <c r="K459" s="417"/>
      <c r="L459" s="417"/>
      <c r="M459" s="417"/>
      <c r="N459" s="417"/>
      <c r="O459" s="417"/>
    </row>
    <row r="460" spans="2:15" s="416" customFormat="1" ht="15" customHeight="1">
      <c r="B460" s="422"/>
      <c r="C460" s="417"/>
      <c r="D460" s="417"/>
      <c r="E460" s="417"/>
      <c r="F460" s="417"/>
      <c r="G460" s="417"/>
      <c r="H460" s="417"/>
      <c r="I460" s="417"/>
      <c r="J460" s="417"/>
      <c r="K460" s="417"/>
      <c r="L460" s="417"/>
      <c r="M460" s="417"/>
      <c r="N460" s="417"/>
      <c r="O460" s="417"/>
    </row>
    <row r="461" spans="2:15" s="416" customFormat="1" ht="15" customHeight="1">
      <c r="B461" s="422"/>
      <c r="C461" s="417"/>
      <c r="D461" s="417"/>
      <c r="E461" s="417"/>
      <c r="F461" s="417"/>
      <c r="G461" s="417"/>
      <c r="H461" s="417"/>
      <c r="I461" s="417"/>
      <c r="J461" s="417"/>
      <c r="K461" s="417"/>
      <c r="L461" s="417"/>
      <c r="M461" s="417"/>
      <c r="N461" s="417"/>
      <c r="O461" s="417"/>
    </row>
    <row r="462" spans="2:15" s="416" customFormat="1" ht="15" customHeight="1">
      <c r="B462" s="422"/>
      <c r="C462" s="417"/>
      <c r="D462" s="417"/>
      <c r="E462" s="417"/>
      <c r="F462" s="417"/>
      <c r="G462" s="417"/>
      <c r="H462" s="417"/>
      <c r="I462" s="417"/>
      <c r="J462" s="417"/>
      <c r="K462" s="417"/>
      <c r="L462" s="417"/>
      <c r="M462" s="417"/>
      <c r="N462" s="417"/>
      <c r="O462" s="417"/>
    </row>
    <row r="463" spans="2:15" s="416" customFormat="1" ht="15" customHeight="1">
      <c r="B463" s="422"/>
      <c r="C463" s="417"/>
      <c r="D463" s="417"/>
      <c r="E463" s="417"/>
      <c r="F463" s="417"/>
      <c r="G463" s="417"/>
      <c r="H463" s="417"/>
      <c r="I463" s="417"/>
      <c r="J463" s="417"/>
      <c r="K463" s="417"/>
      <c r="L463" s="417"/>
      <c r="M463" s="417"/>
      <c r="N463" s="417"/>
      <c r="O463" s="417"/>
    </row>
    <row r="464" spans="2:15" s="416" customFormat="1" ht="15" customHeight="1">
      <c r="B464" s="422"/>
      <c r="C464" s="417"/>
      <c r="D464" s="417"/>
      <c r="E464" s="417"/>
      <c r="F464" s="417"/>
      <c r="G464" s="417"/>
      <c r="H464" s="417"/>
      <c r="I464" s="417"/>
      <c r="J464" s="417"/>
      <c r="K464" s="417"/>
      <c r="L464" s="417"/>
      <c r="M464" s="417"/>
      <c r="N464" s="417"/>
      <c r="O464" s="417"/>
    </row>
    <row r="465" spans="2:15" s="416" customFormat="1" ht="15" customHeight="1">
      <c r="B465" s="422"/>
      <c r="C465" s="417"/>
      <c r="D465" s="417"/>
      <c r="E465" s="417"/>
      <c r="F465" s="417"/>
      <c r="G465" s="417"/>
      <c r="H465" s="417"/>
      <c r="I465" s="417"/>
      <c r="J465" s="417"/>
      <c r="K465" s="417"/>
      <c r="L465" s="417"/>
      <c r="M465" s="417"/>
      <c r="N465" s="417"/>
      <c r="O465" s="417"/>
    </row>
    <row r="466" spans="2:15" s="416" customFormat="1" ht="15" customHeight="1">
      <c r="B466" s="422"/>
      <c r="C466" s="417"/>
      <c r="D466" s="417"/>
      <c r="E466" s="417"/>
      <c r="F466" s="417"/>
      <c r="G466" s="417"/>
      <c r="H466" s="417"/>
      <c r="I466" s="417"/>
      <c r="J466" s="417"/>
      <c r="K466" s="417"/>
      <c r="L466" s="417"/>
      <c r="M466" s="417"/>
      <c r="N466" s="417"/>
      <c r="O466" s="417"/>
    </row>
    <row r="467" spans="2:15" s="416" customFormat="1" ht="15" customHeight="1">
      <c r="B467" s="422"/>
      <c r="C467" s="417"/>
      <c r="D467" s="417"/>
      <c r="E467" s="417"/>
      <c r="F467" s="417"/>
      <c r="G467" s="417"/>
      <c r="H467" s="417"/>
      <c r="I467" s="417"/>
      <c r="J467" s="417"/>
      <c r="K467" s="417"/>
      <c r="L467" s="417"/>
      <c r="M467" s="417"/>
      <c r="N467" s="417"/>
      <c r="O467" s="417"/>
    </row>
    <row r="468" spans="2:15" s="416" customFormat="1" ht="15" customHeight="1">
      <c r="B468" s="422"/>
      <c r="C468" s="417"/>
      <c r="D468" s="417"/>
      <c r="E468" s="417"/>
      <c r="F468" s="417"/>
      <c r="G468" s="417"/>
      <c r="H468" s="417"/>
      <c r="I468" s="417"/>
      <c r="J468" s="417"/>
      <c r="K468" s="417"/>
      <c r="L468" s="417"/>
      <c r="M468" s="417"/>
      <c r="N468" s="417"/>
      <c r="O468" s="417"/>
    </row>
    <row r="469" spans="2:15" s="416" customFormat="1" ht="15" customHeight="1">
      <c r="B469" s="422"/>
      <c r="C469" s="417"/>
      <c r="D469" s="417"/>
      <c r="E469" s="417"/>
      <c r="F469" s="417"/>
      <c r="G469" s="417"/>
      <c r="H469" s="417"/>
      <c r="I469" s="417"/>
      <c r="J469" s="417"/>
      <c r="K469" s="417"/>
      <c r="L469" s="417"/>
      <c r="M469" s="417"/>
      <c r="N469" s="417"/>
      <c r="O469" s="417"/>
    </row>
    <row r="470" spans="2:15" s="416" customFormat="1" ht="15" customHeight="1">
      <c r="B470" s="422"/>
      <c r="C470" s="417"/>
      <c r="D470" s="417"/>
      <c r="E470" s="417"/>
      <c r="F470" s="417"/>
      <c r="G470" s="417"/>
      <c r="H470" s="417"/>
      <c r="I470" s="417"/>
      <c r="J470" s="417"/>
      <c r="K470" s="417"/>
      <c r="L470" s="417"/>
      <c r="M470" s="417"/>
      <c r="N470" s="417"/>
      <c r="O470" s="417"/>
    </row>
    <row r="471" spans="2:15" s="416" customFormat="1" ht="15" customHeight="1">
      <c r="B471" s="422"/>
      <c r="C471" s="417"/>
      <c r="D471" s="417"/>
      <c r="E471" s="417"/>
      <c r="F471" s="417"/>
      <c r="G471" s="417"/>
      <c r="H471" s="417"/>
      <c r="I471" s="417"/>
      <c r="J471" s="417"/>
      <c r="K471" s="417"/>
      <c r="L471" s="417"/>
      <c r="M471" s="417"/>
      <c r="N471" s="417"/>
      <c r="O471" s="417"/>
    </row>
    <row r="472" spans="2:15" s="416" customFormat="1" ht="15" customHeight="1">
      <c r="B472" s="422"/>
      <c r="C472" s="417"/>
      <c r="D472" s="417"/>
      <c r="E472" s="417"/>
      <c r="F472" s="417"/>
      <c r="G472" s="417"/>
      <c r="H472" s="417"/>
      <c r="I472" s="417"/>
      <c r="J472" s="417"/>
      <c r="K472" s="417"/>
      <c r="L472" s="417"/>
      <c r="M472" s="417"/>
      <c r="N472" s="417"/>
      <c r="O472" s="417"/>
    </row>
    <row r="473" spans="2:15" s="416" customFormat="1" ht="15" customHeight="1">
      <c r="B473" s="422"/>
      <c r="C473" s="417"/>
      <c r="D473" s="417"/>
      <c r="E473" s="417"/>
      <c r="F473" s="417"/>
      <c r="G473" s="417"/>
      <c r="H473" s="417"/>
      <c r="I473" s="417"/>
      <c r="J473" s="417"/>
      <c r="K473" s="417"/>
      <c r="L473" s="417"/>
      <c r="M473" s="417"/>
      <c r="N473" s="417"/>
      <c r="O473" s="417"/>
    </row>
    <row r="474" spans="2:15" s="416" customFormat="1" ht="15" customHeight="1">
      <c r="B474" s="422"/>
      <c r="C474" s="417"/>
      <c r="D474" s="417"/>
      <c r="E474" s="417"/>
      <c r="F474" s="417"/>
      <c r="G474" s="417"/>
      <c r="H474" s="417"/>
      <c r="I474" s="417"/>
      <c r="J474" s="417"/>
      <c r="K474" s="417"/>
      <c r="L474" s="417"/>
      <c r="M474" s="417"/>
      <c r="N474" s="417"/>
      <c r="O474" s="417"/>
    </row>
    <row r="475" spans="2:15" s="416" customFormat="1" ht="15" customHeight="1">
      <c r="B475" s="422"/>
      <c r="C475" s="417"/>
      <c r="D475" s="417"/>
      <c r="E475" s="417"/>
      <c r="F475" s="417"/>
      <c r="G475" s="417"/>
      <c r="H475" s="417"/>
      <c r="I475" s="417"/>
      <c r="J475" s="417"/>
      <c r="K475" s="417"/>
      <c r="L475" s="417"/>
      <c r="M475" s="417"/>
      <c r="N475" s="417"/>
      <c r="O475" s="417"/>
    </row>
    <row r="476" spans="2:15" s="416" customFormat="1" ht="15" customHeight="1">
      <c r="B476" s="422"/>
      <c r="C476" s="417"/>
      <c r="D476" s="417"/>
      <c r="E476" s="417"/>
      <c r="F476" s="417"/>
      <c r="G476" s="417"/>
      <c r="H476" s="417"/>
      <c r="I476" s="417"/>
      <c r="J476" s="417"/>
      <c r="K476" s="417"/>
      <c r="L476" s="417"/>
      <c r="M476" s="417"/>
      <c r="N476" s="417"/>
      <c r="O476" s="417"/>
    </row>
    <row r="477" spans="2:15" s="416" customFormat="1" ht="15" customHeight="1">
      <c r="B477" s="422"/>
      <c r="C477" s="417"/>
      <c r="D477" s="417"/>
      <c r="E477" s="417"/>
      <c r="F477" s="417"/>
      <c r="G477" s="417"/>
      <c r="H477" s="417"/>
      <c r="I477" s="417"/>
      <c r="J477" s="417"/>
      <c r="K477" s="417"/>
      <c r="L477" s="417"/>
      <c r="M477" s="417"/>
      <c r="N477" s="417"/>
      <c r="O477" s="417"/>
    </row>
    <row r="478" spans="2:15" s="416" customFormat="1" ht="15" customHeight="1">
      <c r="B478" s="422"/>
      <c r="C478" s="417"/>
      <c r="D478" s="417"/>
      <c r="E478" s="417"/>
      <c r="F478" s="417"/>
      <c r="G478" s="417"/>
      <c r="H478" s="417"/>
      <c r="I478" s="417"/>
      <c r="J478" s="417"/>
      <c r="K478" s="417"/>
      <c r="L478" s="417"/>
      <c r="M478" s="417"/>
      <c r="N478" s="417"/>
      <c r="O478" s="417"/>
    </row>
    <row r="479" spans="2:15" s="416" customFormat="1" ht="15" customHeight="1">
      <c r="B479" s="422"/>
      <c r="C479" s="417"/>
      <c r="D479" s="417"/>
      <c r="E479" s="417"/>
      <c r="F479" s="417"/>
      <c r="G479" s="417"/>
      <c r="H479" s="417"/>
      <c r="I479" s="417"/>
      <c r="J479" s="417"/>
      <c r="K479" s="417"/>
      <c r="L479" s="417"/>
      <c r="M479" s="417"/>
      <c r="N479" s="417"/>
      <c r="O479" s="417"/>
    </row>
    <row r="480" spans="2:15" s="416" customFormat="1" ht="15" customHeight="1">
      <c r="B480" s="422"/>
      <c r="C480" s="417"/>
      <c r="D480" s="417"/>
      <c r="E480" s="417"/>
      <c r="F480" s="417"/>
      <c r="G480" s="417"/>
      <c r="H480" s="417"/>
      <c r="I480" s="417"/>
      <c r="J480" s="417"/>
      <c r="K480" s="417"/>
      <c r="L480" s="417"/>
      <c r="M480" s="417"/>
      <c r="N480" s="417"/>
      <c r="O480" s="417"/>
    </row>
    <row r="481" spans="2:15" s="416" customFormat="1" ht="15" customHeight="1">
      <c r="B481" s="422"/>
      <c r="C481" s="417"/>
      <c r="D481" s="417"/>
      <c r="E481" s="417"/>
      <c r="F481" s="417"/>
      <c r="G481" s="417"/>
      <c r="H481" s="417"/>
      <c r="I481" s="417"/>
      <c r="J481" s="417"/>
      <c r="K481" s="417"/>
      <c r="L481" s="417"/>
      <c r="M481" s="417"/>
      <c r="N481" s="417"/>
      <c r="O481" s="417"/>
    </row>
    <row r="482" spans="2:15" s="416" customFormat="1" ht="15" customHeight="1">
      <c r="B482" s="422"/>
      <c r="C482" s="417"/>
      <c r="D482" s="417"/>
      <c r="E482" s="417"/>
      <c r="F482" s="417"/>
      <c r="G482" s="417"/>
      <c r="H482" s="417"/>
      <c r="I482" s="417"/>
      <c r="J482" s="417"/>
      <c r="K482" s="417"/>
      <c r="L482" s="417"/>
      <c r="M482" s="417"/>
      <c r="N482" s="417"/>
      <c r="O482" s="417"/>
    </row>
    <row r="483" spans="2:15" s="416" customFormat="1" ht="15" customHeight="1">
      <c r="B483" s="422"/>
      <c r="C483" s="417"/>
      <c r="D483" s="417"/>
      <c r="E483" s="417"/>
      <c r="F483" s="417"/>
      <c r="G483" s="417"/>
      <c r="H483" s="417"/>
      <c r="I483" s="417"/>
      <c r="J483" s="417"/>
      <c r="K483" s="417"/>
      <c r="L483" s="417"/>
      <c r="M483" s="417"/>
      <c r="N483" s="417"/>
      <c r="O483" s="417"/>
    </row>
    <row r="484" spans="2:15" s="416" customFormat="1" ht="15" customHeight="1">
      <c r="B484" s="422"/>
      <c r="C484" s="417"/>
      <c r="D484" s="417"/>
      <c r="E484" s="417"/>
      <c r="F484" s="417"/>
      <c r="G484" s="417"/>
      <c r="H484" s="417"/>
      <c r="I484" s="417"/>
      <c r="J484" s="417"/>
      <c r="K484" s="417"/>
      <c r="L484" s="417"/>
      <c r="M484" s="417"/>
      <c r="N484" s="417"/>
      <c r="O484" s="417"/>
    </row>
    <row r="485" spans="2:15" s="416" customFormat="1" ht="15" customHeight="1">
      <c r="B485" s="422"/>
      <c r="C485" s="417"/>
      <c r="D485" s="417"/>
      <c r="E485" s="417"/>
      <c r="F485" s="417"/>
      <c r="G485" s="417"/>
      <c r="H485" s="417"/>
      <c r="I485" s="417"/>
      <c r="J485" s="417"/>
      <c r="K485" s="417"/>
      <c r="L485" s="417"/>
      <c r="M485" s="417"/>
      <c r="N485" s="417"/>
      <c r="O485" s="417"/>
    </row>
    <row r="486" spans="2:15" s="416" customFormat="1" ht="15" customHeight="1">
      <c r="B486" s="422"/>
      <c r="C486" s="417"/>
      <c r="D486" s="417"/>
      <c r="E486" s="417"/>
      <c r="F486" s="417"/>
      <c r="G486" s="417"/>
      <c r="H486" s="417"/>
      <c r="I486" s="417"/>
      <c r="J486" s="417"/>
      <c r="K486" s="417"/>
      <c r="L486" s="417"/>
      <c r="M486" s="417"/>
      <c r="N486" s="417"/>
      <c r="O486" s="417"/>
    </row>
    <row r="487" spans="2:15" s="416" customFormat="1" ht="15" customHeight="1">
      <c r="B487" s="422"/>
      <c r="C487" s="417"/>
      <c r="D487" s="417"/>
      <c r="E487" s="417"/>
      <c r="F487" s="417"/>
      <c r="G487" s="417"/>
      <c r="H487" s="417"/>
      <c r="I487" s="417"/>
      <c r="J487" s="417"/>
      <c r="K487" s="417"/>
      <c r="L487" s="417"/>
      <c r="M487" s="417"/>
      <c r="N487" s="417"/>
      <c r="O487" s="417"/>
    </row>
    <row r="488" spans="2:15" s="416" customFormat="1" ht="15" customHeight="1">
      <c r="B488" s="422"/>
      <c r="C488" s="417"/>
      <c r="D488" s="417"/>
      <c r="E488" s="417"/>
      <c r="F488" s="417"/>
      <c r="G488" s="417"/>
      <c r="H488" s="417"/>
      <c r="I488" s="417"/>
      <c r="J488" s="417"/>
      <c r="K488" s="417"/>
      <c r="L488" s="417"/>
      <c r="M488" s="417"/>
      <c r="N488" s="417"/>
      <c r="O488" s="417"/>
    </row>
    <row r="489" spans="2:15" s="416" customFormat="1" ht="15" customHeight="1">
      <c r="B489" s="422"/>
      <c r="C489" s="417"/>
      <c r="D489" s="417"/>
      <c r="E489" s="417"/>
      <c r="F489" s="417"/>
      <c r="G489" s="417"/>
      <c r="H489" s="417"/>
      <c r="I489" s="417"/>
      <c r="J489" s="417"/>
      <c r="K489" s="417"/>
      <c r="L489" s="417"/>
      <c r="M489" s="417"/>
      <c r="N489" s="417"/>
      <c r="O489" s="417"/>
    </row>
    <row r="490" spans="2:15" s="416" customFormat="1" ht="15" customHeight="1">
      <c r="B490" s="422"/>
      <c r="C490" s="417"/>
      <c r="D490" s="417"/>
      <c r="E490" s="417"/>
      <c r="F490" s="417"/>
      <c r="G490" s="417"/>
      <c r="H490" s="417"/>
      <c r="I490" s="417"/>
      <c r="J490" s="417"/>
      <c r="K490" s="417"/>
      <c r="L490" s="417"/>
      <c r="M490" s="417"/>
      <c r="N490" s="417"/>
      <c r="O490" s="417"/>
    </row>
    <row r="491" spans="2:15" s="416" customFormat="1" ht="15" customHeight="1">
      <c r="B491" s="422"/>
      <c r="C491" s="417"/>
      <c r="D491" s="417"/>
      <c r="E491" s="417"/>
      <c r="F491" s="417"/>
      <c r="G491" s="417"/>
      <c r="H491" s="417"/>
      <c r="I491" s="417"/>
      <c r="J491" s="417"/>
      <c r="K491" s="417"/>
      <c r="L491" s="417"/>
      <c r="M491" s="417"/>
      <c r="N491" s="417"/>
      <c r="O491" s="417"/>
    </row>
    <row r="492" spans="2:15" s="416" customFormat="1" ht="15" customHeight="1">
      <c r="B492" s="422"/>
      <c r="C492" s="417"/>
      <c r="D492" s="417"/>
      <c r="E492" s="417"/>
      <c r="F492" s="417"/>
      <c r="G492" s="417"/>
      <c r="H492" s="417"/>
      <c r="I492" s="417"/>
      <c r="J492" s="417"/>
      <c r="K492" s="417"/>
      <c r="L492" s="417"/>
      <c r="M492" s="417"/>
      <c r="N492" s="417"/>
      <c r="O492" s="417"/>
    </row>
    <row r="493" spans="2:15" s="416" customFormat="1" ht="15" customHeight="1">
      <c r="B493" s="422"/>
      <c r="C493" s="417"/>
      <c r="D493" s="417"/>
      <c r="E493" s="417"/>
      <c r="F493" s="417"/>
      <c r="G493" s="417"/>
      <c r="H493" s="417"/>
      <c r="I493" s="417"/>
      <c r="J493" s="417"/>
      <c r="K493" s="417"/>
      <c r="L493" s="417"/>
      <c r="M493" s="417"/>
      <c r="N493" s="417"/>
      <c r="O493" s="417"/>
    </row>
    <row r="494" spans="2:15" s="416" customFormat="1" ht="15" customHeight="1">
      <c r="B494" s="422"/>
      <c r="C494" s="417"/>
      <c r="D494" s="417"/>
      <c r="E494" s="417"/>
      <c r="F494" s="417"/>
      <c r="G494" s="417"/>
      <c r="H494" s="417"/>
      <c r="I494" s="417"/>
      <c r="J494" s="417"/>
      <c r="K494" s="417"/>
      <c r="L494" s="417"/>
      <c r="M494" s="417"/>
      <c r="N494" s="417"/>
      <c r="O494" s="417"/>
    </row>
    <row r="495" spans="2:15" s="416" customFormat="1" ht="15" customHeight="1">
      <c r="B495" s="422"/>
      <c r="C495" s="417"/>
      <c r="D495" s="417"/>
      <c r="E495" s="417"/>
      <c r="F495" s="417"/>
      <c r="G495" s="417"/>
      <c r="H495" s="417"/>
      <c r="I495" s="417"/>
      <c r="J495" s="417"/>
      <c r="K495" s="417"/>
      <c r="L495" s="417"/>
      <c r="M495" s="417"/>
      <c r="N495" s="417"/>
      <c r="O495" s="417"/>
    </row>
    <row r="496" spans="2:15" s="416" customFormat="1" ht="15" customHeight="1">
      <c r="B496" s="422"/>
      <c r="C496" s="417"/>
      <c r="D496" s="417"/>
      <c r="E496" s="417"/>
      <c r="F496" s="417"/>
      <c r="G496" s="417"/>
      <c r="H496" s="417"/>
      <c r="I496" s="417"/>
      <c r="J496" s="417"/>
      <c r="K496" s="417"/>
      <c r="L496" s="417"/>
      <c r="M496" s="417"/>
      <c r="N496" s="417"/>
      <c r="O496" s="417"/>
    </row>
    <row r="497" spans="2:15" s="416" customFormat="1" ht="15" customHeight="1">
      <c r="B497" s="422"/>
      <c r="C497" s="417"/>
      <c r="D497" s="417"/>
      <c r="E497" s="417"/>
      <c r="F497" s="417"/>
      <c r="G497" s="417"/>
      <c r="H497" s="417"/>
      <c r="I497" s="417"/>
      <c r="J497" s="417"/>
      <c r="K497" s="417"/>
      <c r="L497" s="417"/>
      <c r="M497" s="417"/>
      <c r="N497" s="417"/>
      <c r="O497" s="417"/>
    </row>
    <row r="498" spans="2:15" s="416" customFormat="1" ht="15" customHeight="1">
      <c r="B498" s="422"/>
      <c r="C498" s="417"/>
      <c r="D498" s="417"/>
      <c r="E498" s="417"/>
      <c r="F498" s="417"/>
      <c r="G498" s="417"/>
      <c r="H498" s="417"/>
      <c r="I498" s="417"/>
      <c r="J498" s="417"/>
      <c r="K498" s="417"/>
      <c r="L498" s="417"/>
      <c r="M498" s="417"/>
      <c r="N498" s="417"/>
      <c r="O498" s="417"/>
    </row>
    <row r="499" spans="2:15" s="416" customFormat="1" ht="15" customHeight="1">
      <c r="B499" s="422"/>
      <c r="C499" s="417"/>
      <c r="D499" s="417"/>
      <c r="E499" s="417"/>
      <c r="F499" s="417"/>
      <c r="G499" s="417"/>
      <c r="H499" s="417"/>
      <c r="I499" s="417"/>
      <c r="J499" s="417"/>
      <c r="K499" s="417"/>
      <c r="L499" s="417"/>
      <c r="M499" s="417"/>
      <c r="N499" s="417"/>
      <c r="O499" s="417"/>
    </row>
    <row r="500" spans="2:15" s="416" customFormat="1" ht="15" customHeight="1">
      <c r="B500" s="422"/>
      <c r="C500" s="417"/>
      <c r="D500" s="417"/>
      <c r="E500" s="417"/>
      <c r="F500" s="417"/>
      <c r="G500" s="417"/>
      <c r="H500" s="417"/>
      <c r="I500" s="417"/>
      <c r="J500" s="417"/>
      <c r="K500" s="417"/>
      <c r="L500" s="417"/>
      <c r="M500" s="417"/>
      <c r="N500" s="417"/>
      <c r="O500" s="417"/>
    </row>
    <row r="501" spans="2:15" s="416" customFormat="1" ht="15" customHeight="1">
      <c r="B501" s="422"/>
      <c r="C501" s="417"/>
      <c r="D501" s="417"/>
      <c r="E501" s="417"/>
      <c r="F501" s="417"/>
      <c r="G501" s="417"/>
      <c r="H501" s="417"/>
      <c r="I501" s="417"/>
      <c r="J501" s="417"/>
      <c r="K501" s="417"/>
      <c r="L501" s="417"/>
      <c r="M501" s="417"/>
      <c r="N501" s="417"/>
      <c r="O501" s="417"/>
    </row>
    <row r="502" spans="2:15" s="416" customFormat="1" ht="15" customHeight="1">
      <c r="B502" s="422"/>
      <c r="C502" s="417"/>
      <c r="D502" s="417"/>
      <c r="E502" s="417"/>
      <c r="F502" s="417"/>
      <c r="G502" s="417"/>
      <c r="H502" s="417"/>
      <c r="I502" s="417"/>
      <c r="J502" s="417"/>
      <c r="K502" s="417"/>
      <c r="L502" s="417"/>
      <c r="M502" s="417"/>
      <c r="N502" s="417"/>
      <c r="O502" s="417"/>
    </row>
    <row r="503" spans="2:15" s="416" customFormat="1" ht="15" customHeight="1">
      <c r="B503" s="422"/>
      <c r="C503" s="417"/>
      <c r="D503" s="417"/>
      <c r="E503" s="417"/>
      <c r="F503" s="417"/>
      <c r="G503" s="417"/>
      <c r="H503" s="417"/>
      <c r="I503" s="417"/>
      <c r="J503" s="417"/>
      <c r="K503" s="417"/>
      <c r="L503" s="417"/>
      <c r="M503" s="417"/>
      <c r="N503" s="417"/>
      <c r="O503" s="417"/>
    </row>
    <row r="504" spans="2:15" s="416" customFormat="1" ht="15" customHeight="1">
      <c r="B504" s="422"/>
      <c r="C504" s="417"/>
      <c r="D504" s="417"/>
      <c r="E504" s="417"/>
      <c r="F504" s="417"/>
      <c r="G504" s="417"/>
      <c r="H504" s="417"/>
      <c r="I504" s="417"/>
      <c r="J504" s="417"/>
      <c r="K504" s="417"/>
      <c r="L504" s="417"/>
      <c r="M504" s="417"/>
      <c r="N504" s="417"/>
      <c r="O504" s="417"/>
    </row>
    <row r="505" spans="2:15" s="416" customFormat="1" ht="15" customHeight="1">
      <c r="B505" s="422"/>
      <c r="C505" s="417"/>
      <c r="D505" s="417"/>
      <c r="E505" s="417"/>
      <c r="F505" s="417"/>
      <c r="G505" s="417"/>
      <c r="H505" s="417"/>
      <c r="I505" s="417"/>
      <c r="J505" s="417"/>
      <c r="K505" s="417"/>
      <c r="L505" s="417"/>
      <c r="M505" s="417"/>
      <c r="N505" s="417"/>
      <c r="O505" s="417"/>
    </row>
    <row r="506" spans="2:15" s="416" customFormat="1" ht="15" customHeight="1">
      <c r="B506" s="422"/>
      <c r="C506" s="417"/>
      <c r="D506" s="417"/>
      <c r="E506" s="417"/>
      <c r="F506" s="417"/>
      <c r="G506" s="417"/>
      <c r="H506" s="417"/>
      <c r="I506" s="417"/>
      <c r="J506" s="417"/>
      <c r="K506" s="417"/>
      <c r="L506" s="417"/>
      <c r="M506" s="417"/>
      <c r="N506" s="417"/>
      <c r="O506" s="417"/>
    </row>
    <row r="507" spans="2:15" s="416" customFormat="1" ht="15" customHeight="1">
      <c r="B507" s="422"/>
      <c r="C507" s="417"/>
      <c r="D507" s="417"/>
      <c r="E507" s="417"/>
      <c r="F507" s="417"/>
      <c r="G507" s="417"/>
      <c r="H507" s="417"/>
      <c r="I507" s="417"/>
      <c r="J507" s="417"/>
      <c r="K507" s="417"/>
      <c r="L507" s="417"/>
      <c r="M507" s="417"/>
      <c r="N507" s="417"/>
      <c r="O507" s="417"/>
    </row>
    <row r="508" spans="2:15" s="416" customFormat="1" ht="15" customHeight="1">
      <c r="B508" s="422"/>
      <c r="C508" s="417"/>
      <c r="D508" s="417"/>
      <c r="E508" s="417"/>
      <c r="F508" s="417"/>
      <c r="G508" s="417"/>
      <c r="H508" s="417"/>
      <c r="I508" s="417"/>
      <c r="J508" s="417"/>
      <c r="K508" s="417"/>
      <c r="L508" s="417"/>
      <c r="M508" s="417"/>
      <c r="N508" s="417"/>
      <c r="O508" s="417"/>
    </row>
    <row r="509" spans="2:15" s="416" customFormat="1" ht="15" customHeight="1">
      <c r="B509" s="422"/>
      <c r="C509" s="417"/>
      <c r="D509" s="417"/>
      <c r="E509" s="417"/>
      <c r="F509" s="417"/>
      <c r="G509" s="417"/>
      <c r="H509" s="417"/>
      <c r="I509" s="417"/>
      <c r="J509" s="417"/>
      <c r="K509" s="417"/>
      <c r="L509" s="417"/>
      <c r="M509" s="417"/>
      <c r="N509" s="417"/>
      <c r="O509" s="417"/>
    </row>
    <row r="510" spans="2:15" s="416" customFormat="1" ht="15" customHeight="1">
      <c r="B510" s="422"/>
      <c r="C510" s="417"/>
      <c r="D510" s="417"/>
      <c r="E510" s="417"/>
      <c r="F510" s="417"/>
      <c r="G510" s="417"/>
      <c r="H510" s="417"/>
      <c r="I510" s="417"/>
      <c r="J510" s="417"/>
      <c r="K510" s="417"/>
      <c r="L510" s="417"/>
      <c r="M510" s="417"/>
      <c r="N510" s="417"/>
      <c r="O510" s="417"/>
    </row>
    <row r="511" spans="2:15" s="416" customFormat="1" ht="15" customHeight="1">
      <c r="B511" s="422"/>
      <c r="C511" s="417"/>
      <c r="D511" s="417"/>
      <c r="E511" s="417"/>
      <c r="F511" s="417"/>
      <c r="G511" s="417"/>
      <c r="H511" s="417"/>
      <c r="I511" s="417"/>
      <c r="J511" s="417"/>
      <c r="K511" s="417"/>
      <c r="L511" s="417"/>
      <c r="M511" s="417"/>
      <c r="N511" s="417"/>
      <c r="O511" s="417"/>
    </row>
  </sheetData>
  <mergeCells count="51">
    <mergeCell ref="L22:O22"/>
    <mergeCell ref="B22:C22"/>
    <mergeCell ref="D22:G22"/>
    <mergeCell ref="H22:K22"/>
    <mergeCell ref="D21:G21"/>
    <mergeCell ref="H21:K21"/>
    <mergeCell ref="L21:O21"/>
    <mergeCell ref="D20:G20"/>
    <mergeCell ref="H20:K20"/>
    <mergeCell ref="L20:O20"/>
    <mergeCell ref="B13:C13"/>
    <mergeCell ref="D13:G13"/>
    <mergeCell ref="D15:G15"/>
    <mergeCell ref="B19:C19"/>
    <mergeCell ref="D19:G19"/>
    <mergeCell ref="H19:K19"/>
    <mergeCell ref="L19:O19"/>
    <mergeCell ref="P13:S13"/>
    <mergeCell ref="T13:W13"/>
    <mergeCell ref="D14:G14"/>
    <mergeCell ref="P14:S14"/>
    <mergeCell ref="T14:W14"/>
    <mergeCell ref="H13:K13"/>
    <mergeCell ref="H14:K14"/>
    <mergeCell ref="L13:O13"/>
    <mergeCell ref="L14:O14"/>
    <mergeCell ref="P15:S15"/>
    <mergeCell ref="T15:W15"/>
    <mergeCell ref="B16:C16"/>
    <mergeCell ref="D16:G16"/>
    <mergeCell ref="P16:S16"/>
    <mergeCell ref="T16:W16"/>
    <mergeCell ref="H15:K15"/>
    <mergeCell ref="H16:K16"/>
    <mergeCell ref="L15:O15"/>
    <mergeCell ref="L16:O16"/>
    <mergeCell ref="B6:C6"/>
    <mergeCell ref="D6:G6"/>
    <mergeCell ref="H6:K6"/>
    <mergeCell ref="L6:O6"/>
    <mergeCell ref="D4:G4"/>
    <mergeCell ref="H4:K4"/>
    <mergeCell ref="L4:O4"/>
    <mergeCell ref="D5:G5"/>
    <mergeCell ref="H5:K5"/>
    <mergeCell ref="L5:O5"/>
    <mergeCell ref="B1:O1"/>
    <mergeCell ref="B3:C3"/>
    <mergeCell ref="D3:G3"/>
    <mergeCell ref="H3:K3"/>
    <mergeCell ref="L3:O3"/>
  </mergeCells>
  <pageMargins left="0.511811023622047" right="0.511811023622047" top="0.55118110236220497" bottom="0.55118110236220497" header="0.31496062992126" footer="0.31496062992126"/>
  <pageSetup paperSize="9" scale="7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39991454817346722"/>
  </sheetPr>
  <dimension ref="A2:P60"/>
  <sheetViews>
    <sheetView workbookViewId="0">
      <selection activeCell="K31" sqref="K31:M32"/>
    </sheetView>
  </sheetViews>
  <sheetFormatPr baseColWidth="10" defaultColWidth="11.44140625" defaultRowHeight="14.4"/>
  <cols>
    <col min="1" max="1" width="2" style="48" customWidth="1"/>
    <col min="2" max="2" width="11.44140625" style="48"/>
    <col min="3" max="3" width="13" style="48" customWidth="1"/>
    <col min="4" max="4" width="11.44140625" style="48"/>
    <col min="5" max="5" width="13.5546875" style="48" customWidth="1"/>
    <col min="6" max="7" width="14" style="48" customWidth="1"/>
    <col min="8" max="8" width="14.88671875" style="47" customWidth="1"/>
    <col min="9" max="12" width="11.44140625" style="47" customWidth="1"/>
    <col min="13" max="16384" width="11.44140625" style="48"/>
  </cols>
  <sheetData>
    <row r="2" spans="1:15">
      <c r="A2" s="12"/>
      <c r="B2" s="550" t="s">
        <v>256</v>
      </c>
      <c r="C2" s="550"/>
      <c r="D2" s="550"/>
      <c r="E2" s="550"/>
      <c r="F2" s="14"/>
      <c r="G2" s="14"/>
      <c r="N2" s="14"/>
      <c r="O2" s="14"/>
    </row>
    <row r="3" spans="1:15" ht="3.75" customHeight="1">
      <c r="A3" s="12"/>
      <c r="B3" s="12"/>
      <c r="E3" s="14"/>
      <c r="F3" s="14"/>
      <c r="G3" s="14"/>
      <c r="N3" s="14"/>
      <c r="O3" s="14"/>
    </row>
    <row r="4" spans="1:15" ht="12.75" customHeight="1">
      <c r="A4" s="12"/>
      <c r="B4" s="804" t="s">
        <v>257</v>
      </c>
      <c r="C4" s="806"/>
      <c r="D4" s="811" t="s">
        <v>258</v>
      </c>
      <c r="E4" s="14"/>
      <c r="F4" s="14"/>
      <c r="G4" s="14"/>
      <c r="N4" s="14"/>
      <c r="O4" s="14"/>
    </row>
    <row r="5" spans="1:15" ht="25.5" customHeight="1">
      <c r="A5" s="12"/>
      <c r="B5" s="805"/>
      <c r="C5" s="807"/>
      <c r="D5" s="812"/>
      <c r="E5" s="14"/>
      <c r="F5" s="14"/>
      <c r="G5" s="14"/>
      <c r="M5" s="140"/>
      <c r="N5" s="14"/>
      <c r="O5" s="14"/>
    </row>
    <row r="6" spans="1:15">
      <c r="A6" s="12"/>
      <c r="B6" s="256" t="s">
        <v>259</v>
      </c>
      <c r="C6" s="257" t="s">
        <v>260</v>
      </c>
      <c r="D6" s="258" t="s">
        <v>261</v>
      </c>
      <c r="F6" s="14"/>
      <c r="G6" s="14"/>
      <c r="N6" s="14"/>
      <c r="O6" s="14"/>
    </row>
    <row r="7" spans="1:15">
      <c r="A7" s="12"/>
      <c r="B7" s="106">
        <v>0</v>
      </c>
      <c r="C7" s="107">
        <v>0</v>
      </c>
      <c r="D7" s="108">
        <v>3.5000000000000003E-2</v>
      </c>
      <c r="F7" s="14"/>
      <c r="G7" s="14"/>
      <c r="N7" s="14"/>
      <c r="O7" s="14"/>
    </row>
    <row r="8" spans="1:15">
      <c r="A8" s="12"/>
      <c r="B8" s="109">
        <v>1</v>
      </c>
      <c r="C8" s="110">
        <v>1.359621</v>
      </c>
      <c r="D8" s="111">
        <v>3.5000000000000003E-2</v>
      </c>
      <c r="F8" s="14"/>
      <c r="G8" s="14"/>
      <c r="N8" s="14"/>
      <c r="O8" s="14"/>
    </row>
    <row r="9" spans="1:15">
      <c r="A9" s="12"/>
      <c r="B9" s="106">
        <v>15.1</v>
      </c>
      <c r="C9" s="112">
        <f t="shared" ref="C9:C16" si="0">+(C$8*B9)/B$8</f>
        <v>20.530277099999999</v>
      </c>
      <c r="D9" s="108">
        <v>3.9E-2</v>
      </c>
      <c r="F9" s="14"/>
      <c r="G9" s="14"/>
      <c r="N9" s="14"/>
      <c r="O9" s="14"/>
    </row>
    <row r="10" spans="1:15">
      <c r="A10" s="12"/>
      <c r="B10" s="109">
        <v>30.1</v>
      </c>
      <c r="C10" s="113">
        <f t="shared" si="0"/>
        <v>40.924592099999998</v>
      </c>
      <c r="D10" s="111">
        <v>4.7E-2</v>
      </c>
      <c r="F10" s="14"/>
      <c r="G10" s="14"/>
      <c r="N10" s="14"/>
      <c r="O10" s="14"/>
    </row>
    <row r="11" spans="1:15">
      <c r="A11" s="12"/>
      <c r="B11" s="106">
        <v>45.1</v>
      </c>
      <c r="C11" s="112">
        <f t="shared" si="0"/>
        <v>61.318907099999997</v>
      </c>
      <c r="D11" s="108">
        <v>0.06</v>
      </c>
      <c r="F11" s="14"/>
      <c r="G11" s="14"/>
      <c r="N11" s="14"/>
      <c r="O11" s="14"/>
    </row>
    <row r="12" spans="1:15">
      <c r="A12" s="12"/>
      <c r="B12" s="109">
        <v>60.1</v>
      </c>
      <c r="C12" s="113">
        <f t="shared" si="0"/>
        <v>81.713222099999996</v>
      </c>
      <c r="D12" s="111">
        <v>7.5999999999999998E-2</v>
      </c>
      <c r="F12" s="14"/>
      <c r="G12" s="14"/>
      <c r="N12" s="14"/>
      <c r="O12" s="14"/>
    </row>
    <row r="13" spans="1:15">
      <c r="A13" s="12"/>
      <c r="B13" s="106">
        <v>75.099999999999994</v>
      </c>
      <c r="C13" s="112">
        <f t="shared" si="0"/>
        <v>102.10753709999999</v>
      </c>
      <c r="D13" s="108">
        <v>0.1</v>
      </c>
      <c r="F13" s="14"/>
      <c r="G13" s="14"/>
      <c r="N13" s="14"/>
      <c r="O13" s="14"/>
    </row>
    <row r="14" spans="1:15">
      <c r="A14" s="12"/>
      <c r="B14" s="109">
        <v>100.1</v>
      </c>
      <c r="C14" s="113">
        <f t="shared" si="0"/>
        <v>136.09806209999999</v>
      </c>
      <c r="D14" s="111">
        <v>0.111</v>
      </c>
      <c r="F14" s="14"/>
      <c r="G14" s="14"/>
      <c r="N14" s="14"/>
      <c r="O14" s="14"/>
    </row>
    <row r="15" spans="1:15">
      <c r="A15" s="12"/>
      <c r="B15" s="106">
        <v>150.1</v>
      </c>
      <c r="C15" s="112">
        <f t="shared" si="0"/>
        <v>204.07911209999997</v>
      </c>
      <c r="D15" s="108">
        <v>0.13500000000000001</v>
      </c>
      <c r="F15" s="14"/>
      <c r="G15" s="14"/>
      <c r="N15" s="14"/>
      <c r="O15" s="14"/>
    </row>
    <row r="16" spans="1:15">
      <c r="A16" s="12"/>
      <c r="B16" s="114">
        <v>500</v>
      </c>
      <c r="C16" s="115">
        <f t="shared" si="0"/>
        <v>679.81049999999993</v>
      </c>
      <c r="D16" s="116">
        <v>0.13500000000000001</v>
      </c>
      <c r="F16" s="14"/>
      <c r="G16" s="14"/>
      <c r="N16" s="14"/>
      <c r="O16" s="14"/>
    </row>
    <row r="17" spans="1:16">
      <c r="A17" s="12"/>
      <c r="B17" s="14"/>
      <c r="C17" s="14"/>
      <c r="D17" s="14"/>
      <c r="E17" s="14"/>
      <c r="F17" s="14"/>
      <c r="G17" s="14"/>
      <c r="N17" s="14"/>
      <c r="O17" s="14"/>
    </row>
    <row r="18" spans="1:16">
      <c r="A18" s="12"/>
      <c r="B18" s="12"/>
      <c r="E18" s="14"/>
      <c r="F18" s="14"/>
      <c r="G18" s="14"/>
      <c r="N18" s="14"/>
      <c r="O18" s="14"/>
    </row>
    <row r="19" spans="1:16">
      <c r="A19" s="12"/>
      <c r="B19" s="550" t="s">
        <v>262</v>
      </c>
      <c r="C19" s="550"/>
      <c r="D19" s="550"/>
      <c r="E19" s="550"/>
      <c r="F19" s="117"/>
      <c r="G19" s="117"/>
      <c r="N19" s="14"/>
      <c r="O19" s="14"/>
    </row>
    <row r="20" spans="1:16" ht="3.75" customHeight="1">
      <c r="A20" s="12"/>
      <c r="C20" s="47"/>
      <c r="D20" s="47"/>
      <c r="E20" s="47"/>
      <c r="F20" s="47"/>
      <c r="G20" s="47"/>
      <c r="N20" s="14"/>
      <c r="O20" s="14"/>
    </row>
    <row r="21" spans="1:16" ht="12.75" customHeight="1">
      <c r="A21" s="12"/>
      <c r="B21" s="804" t="s">
        <v>263</v>
      </c>
      <c r="C21" s="806" t="s">
        <v>257</v>
      </c>
      <c r="D21" s="806" t="s">
        <v>264</v>
      </c>
      <c r="E21" s="808" t="s">
        <v>265</v>
      </c>
      <c r="F21" s="47"/>
      <c r="G21" s="47"/>
      <c r="N21" s="14"/>
      <c r="O21" s="14"/>
    </row>
    <row r="22" spans="1:16" ht="12.75" customHeight="1">
      <c r="A22" s="12"/>
      <c r="B22" s="805"/>
      <c r="C22" s="807"/>
      <c r="D22" s="807"/>
      <c r="E22" s="814"/>
      <c r="F22" s="117"/>
      <c r="G22" s="117"/>
      <c r="H22" s="118"/>
      <c r="I22" s="511" t="s">
        <v>1077</v>
      </c>
      <c r="J22" s="141">
        <v>1.7</v>
      </c>
      <c r="K22" s="512" t="s">
        <v>1079</v>
      </c>
      <c r="N22" s="14"/>
      <c r="O22" s="14"/>
    </row>
    <row r="23" spans="1:16">
      <c r="A23" s="12"/>
      <c r="B23" s="256" t="s">
        <v>266</v>
      </c>
      <c r="C23" s="257" t="s">
        <v>260</v>
      </c>
      <c r="D23" s="257" t="s">
        <v>267</v>
      </c>
      <c r="E23" s="258" t="s">
        <v>268</v>
      </c>
      <c r="F23" s="47"/>
      <c r="G23" s="47"/>
      <c r="H23" s="119"/>
      <c r="I23" s="510" t="s">
        <v>1078</v>
      </c>
      <c r="J23" s="143">
        <v>1.6</v>
      </c>
      <c r="K23" s="144"/>
      <c r="N23" s="14"/>
      <c r="O23" s="14"/>
    </row>
    <row r="24" spans="1:16">
      <c r="A24" s="12"/>
      <c r="B24" s="120"/>
      <c r="C24" s="47"/>
      <c r="D24" s="47"/>
      <c r="E24" s="121"/>
      <c r="F24" s="47"/>
      <c r="G24" s="47"/>
      <c r="H24" s="119"/>
      <c r="I24" s="142" t="s">
        <v>269</v>
      </c>
      <c r="J24" s="143">
        <f>7.6*1.3</f>
        <v>9.879999999999999</v>
      </c>
      <c r="K24" s="147"/>
      <c r="N24" s="14"/>
      <c r="O24" s="14"/>
    </row>
    <row r="25" spans="1:16">
      <c r="A25" s="12"/>
      <c r="B25" s="123">
        <v>1.51</v>
      </c>
      <c r="C25" s="124">
        <v>62</v>
      </c>
      <c r="D25" s="124">
        <f>VLOOKUP(C25,C7:D16,2)</f>
        <v>0.06</v>
      </c>
      <c r="E25" s="125">
        <f>B25*D25</f>
        <v>9.06E-2</v>
      </c>
      <c r="F25" s="47"/>
      <c r="G25" s="47"/>
      <c r="H25" s="122"/>
      <c r="I25" s="145" t="s">
        <v>270</v>
      </c>
      <c r="J25" s="146">
        <v>4.8</v>
      </c>
      <c r="K25" s="147"/>
      <c r="N25" s="14"/>
      <c r="O25" s="14"/>
    </row>
    <row r="26" spans="1:16">
      <c r="A26" s="12"/>
      <c r="B26" s="126"/>
      <c r="C26" s="127"/>
      <c r="D26" s="127"/>
      <c r="E26" s="128"/>
      <c r="F26" s="47"/>
      <c r="G26" s="47"/>
      <c r="H26" s="119"/>
      <c r="I26" s="510" t="s">
        <v>1076</v>
      </c>
      <c r="J26" s="143">
        <v>0.4</v>
      </c>
      <c r="N26" s="14"/>
      <c r="O26" s="14"/>
    </row>
    <row r="27" spans="1:16">
      <c r="A27" s="12"/>
      <c r="C27" s="47"/>
      <c r="D27" s="47"/>
      <c r="E27" s="47"/>
      <c r="F27" s="47"/>
      <c r="G27" s="47"/>
      <c r="H27" s="508"/>
      <c r="I27" s="513" t="s">
        <v>1080</v>
      </c>
      <c r="J27" s="509">
        <v>0.99</v>
      </c>
      <c r="N27" s="14"/>
      <c r="O27" s="14"/>
    </row>
    <row r="28" spans="1:16">
      <c r="A28" s="12"/>
      <c r="B28" s="12"/>
      <c r="C28" s="12"/>
      <c r="D28" s="12"/>
      <c r="E28" s="14"/>
      <c r="F28" s="14"/>
      <c r="G28" s="14"/>
      <c r="N28" s="14"/>
      <c r="O28" s="14"/>
    </row>
    <row r="29" spans="1:16">
      <c r="A29" s="12"/>
      <c r="B29" s="12"/>
      <c r="C29" s="12"/>
      <c r="D29" s="12"/>
      <c r="E29" s="14"/>
      <c r="F29" s="14"/>
      <c r="G29" s="14"/>
      <c r="N29" s="14"/>
      <c r="O29" s="14"/>
    </row>
    <row r="30" spans="1:16" ht="11.25" customHeight="1">
      <c r="A30" s="47"/>
      <c r="B30" s="47"/>
      <c r="C30" s="47"/>
      <c r="D30" s="47"/>
      <c r="E30" s="47"/>
      <c r="F30" s="14"/>
      <c r="G30" s="14"/>
      <c r="K30" s="14"/>
      <c r="L30" s="14"/>
      <c r="M30" s="14"/>
      <c r="N30" s="14"/>
      <c r="O30" s="14"/>
    </row>
    <row r="31" spans="1:16">
      <c r="B31" s="550" t="s">
        <v>271</v>
      </c>
      <c r="C31" s="550"/>
      <c r="D31" s="550"/>
      <c r="E31" s="550"/>
      <c r="F31" s="550"/>
      <c r="G31" s="242"/>
      <c r="K31" s="14"/>
      <c r="L31" s="14"/>
      <c r="M31" s="14"/>
      <c r="N31" s="14"/>
      <c r="O31" s="14"/>
      <c r="P31" s="14"/>
    </row>
    <row r="32" spans="1:16" ht="3.75" customHeight="1">
      <c r="B32" s="47"/>
      <c r="C32" s="47"/>
      <c r="D32" s="47"/>
      <c r="E32" s="47"/>
      <c r="F32" s="47"/>
      <c r="G32" s="47"/>
      <c r="H32" s="14"/>
      <c r="I32" s="14"/>
      <c r="J32" s="14"/>
      <c r="M32" s="47"/>
    </row>
    <row r="33" spans="2:13" ht="12.75" customHeight="1">
      <c r="B33" s="259"/>
      <c r="C33" s="804" t="s">
        <v>271</v>
      </c>
      <c r="D33" s="806" t="s">
        <v>272</v>
      </c>
      <c r="E33" s="806" t="s">
        <v>273</v>
      </c>
      <c r="F33" s="808" t="s">
        <v>274</v>
      </c>
      <c r="G33" s="97"/>
      <c r="H33" s="14"/>
      <c r="I33" s="14"/>
      <c r="J33" s="14"/>
      <c r="M33" s="47"/>
    </row>
    <row r="34" spans="2:13" ht="21.75" customHeight="1">
      <c r="B34" s="260"/>
      <c r="C34" s="810"/>
      <c r="D34" s="813"/>
      <c r="E34" s="813"/>
      <c r="F34" s="809"/>
      <c r="G34" s="97"/>
      <c r="H34" s="48"/>
      <c r="M34" s="47"/>
    </row>
    <row r="35" spans="2:13">
      <c r="B35" s="260" t="s">
        <v>275</v>
      </c>
      <c r="C35" s="257" t="s">
        <v>276</v>
      </c>
      <c r="D35" s="257" t="s">
        <v>277</v>
      </c>
      <c r="E35" s="257" t="s">
        <v>278</v>
      </c>
      <c r="F35" s="258" t="s">
        <v>279</v>
      </c>
      <c r="G35" s="257"/>
      <c r="H35" s="48"/>
      <c r="M35" s="47"/>
    </row>
    <row r="36" spans="2:13">
      <c r="B36" s="261"/>
      <c r="C36" s="262" t="s">
        <v>280</v>
      </c>
      <c r="D36" s="262" t="s">
        <v>281</v>
      </c>
      <c r="E36" s="262" t="s">
        <v>280</v>
      </c>
      <c r="F36" s="263" t="s">
        <v>282</v>
      </c>
      <c r="G36" s="257"/>
      <c r="H36" s="48"/>
      <c r="M36" s="47"/>
    </row>
    <row r="37" spans="2:13" ht="3.75" customHeight="1">
      <c r="B37" s="129"/>
      <c r="C37" s="130"/>
      <c r="D37" s="130"/>
      <c r="E37" s="130"/>
      <c r="F37" s="131"/>
      <c r="G37" s="47"/>
      <c r="H37" s="48"/>
      <c r="M37" s="47"/>
    </row>
    <row r="38" spans="2:13">
      <c r="B38" s="123">
        <v>12.5</v>
      </c>
      <c r="C38" s="124">
        <v>1.08</v>
      </c>
      <c r="D38" s="124">
        <v>7.6999999999999999E-2</v>
      </c>
      <c r="E38" s="132">
        <f t="shared" ref="E38:E56" si="1">B38/100/C38</f>
        <v>0.11574074074074073</v>
      </c>
      <c r="F38" s="133">
        <f t="shared" ref="F38:F56" si="2">1/((D38*100)/B38)</f>
        <v>1.6233766233766234</v>
      </c>
      <c r="G38" s="132"/>
      <c r="H38" s="48"/>
      <c r="M38" s="47"/>
    </row>
    <row r="39" spans="2:13">
      <c r="B39" s="120">
        <v>15</v>
      </c>
      <c r="C39" s="47">
        <v>1.1499999999999999</v>
      </c>
      <c r="D39" s="47">
        <v>8.2000000000000003E-2</v>
      </c>
      <c r="E39" s="134">
        <f t="shared" si="1"/>
        <v>0.13043478260869565</v>
      </c>
      <c r="F39" s="135">
        <f t="shared" si="2"/>
        <v>1.8292682926829267</v>
      </c>
      <c r="G39" s="134"/>
      <c r="H39" s="48"/>
      <c r="M39" s="47"/>
    </row>
    <row r="40" spans="2:13">
      <c r="B40" s="123">
        <v>20</v>
      </c>
      <c r="C40" s="124">
        <v>1.3</v>
      </c>
      <c r="D40" s="124">
        <v>9.0999999999999998E-2</v>
      </c>
      <c r="E40" s="132">
        <f t="shared" si="1"/>
        <v>0.15384615384615385</v>
      </c>
      <c r="F40" s="133">
        <f t="shared" si="2"/>
        <v>2.197802197802198</v>
      </c>
      <c r="G40" s="132"/>
      <c r="H40" s="48"/>
      <c r="M40" s="47"/>
    </row>
    <row r="41" spans="2:13">
      <c r="B41" s="120">
        <v>25</v>
      </c>
      <c r="C41" s="47">
        <v>1.45</v>
      </c>
      <c r="D41" s="47">
        <v>0.1</v>
      </c>
      <c r="E41" s="134">
        <f t="shared" si="1"/>
        <v>0.17241379310344829</v>
      </c>
      <c r="F41" s="135">
        <f t="shared" si="2"/>
        <v>2.5</v>
      </c>
      <c r="G41" s="134"/>
      <c r="H41" s="48"/>
      <c r="M41" s="47"/>
    </row>
    <row r="42" spans="2:13">
      <c r="B42" s="123">
        <v>30</v>
      </c>
      <c r="C42" s="124">
        <v>1.6</v>
      </c>
      <c r="D42" s="124">
        <v>0.11</v>
      </c>
      <c r="E42" s="132">
        <f t="shared" si="1"/>
        <v>0.18749999999999997</v>
      </c>
      <c r="F42" s="133">
        <f t="shared" si="2"/>
        <v>2.7272727272727275</v>
      </c>
      <c r="G42" s="132"/>
      <c r="H42" s="48"/>
      <c r="M42" s="47"/>
    </row>
    <row r="43" spans="2:13">
      <c r="B43" s="120">
        <v>35</v>
      </c>
      <c r="C43" s="47">
        <v>1.75</v>
      </c>
      <c r="D43" s="47">
        <v>0.11899999999999999</v>
      </c>
      <c r="E43" s="134">
        <f t="shared" si="1"/>
        <v>0.19999999999999998</v>
      </c>
      <c r="F43" s="135">
        <f t="shared" si="2"/>
        <v>2.9411764705882355</v>
      </c>
      <c r="G43" s="134"/>
      <c r="H43" s="48"/>
      <c r="M43" s="47"/>
    </row>
    <row r="44" spans="2:13">
      <c r="B44" s="123">
        <v>40</v>
      </c>
      <c r="C44" s="124">
        <v>1.9</v>
      </c>
      <c r="D44" s="124">
        <v>0.129</v>
      </c>
      <c r="E44" s="132">
        <f t="shared" si="1"/>
        <v>0.2105263157894737</v>
      </c>
      <c r="F44" s="133">
        <f t="shared" si="2"/>
        <v>3.1007751937984493</v>
      </c>
      <c r="G44" s="132"/>
      <c r="H44" s="48"/>
      <c r="M44" s="47"/>
    </row>
    <row r="45" spans="2:13">
      <c r="B45" s="120">
        <v>45</v>
      </c>
      <c r="C45" s="47">
        <v>2.0299999999999998</v>
      </c>
      <c r="D45" s="47">
        <v>0.14000000000000001</v>
      </c>
      <c r="E45" s="134">
        <f t="shared" si="1"/>
        <v>0.22167487684729067</v>
      </c>
      <c r="F45" s="135">
        <f t="shared" si="2"/>
        <v>3.2142857142857135</v>
      </c>
      <c r="G45" s="134"/>
      <c r="H45" s="48"/>
      <c r="M45" s="47"/>
    </row>
    <row r="46" spans="2:13">
      <c r="B46" s="123">
        <v>50</v>
      </c>
      <c r="C46" s="124">
        <v>2.15</v>
      </c>
      <c r="D46" s="124">
        <v>0.15</v>
      </c>
      <c r="E46" s="132">
        <f t="shared" si="1"/>
        <v>0.23255813953488372</v>
      </c>
      <c r="F46" s="133">
        <f t="shared" si="2"/>
        <v>3.3333333333333335</v>
      </c>
      <c r="G46" s="132"/>
      <c r="H46" s="48"/>
      <c r="M46" s="47"/>
    </row>
    <row r="47" spans="2:13">
      <c r="B47" s="120">
        <v>55</v>
      </c>
      <c r="C47" s="47">
        <v>2.2799999999999998</v>
      </c>
      <c r="D47" s="47">
        <v>0.161</v>
      </c>
      <c r="E47" s="134">
        <f t="shared" si="1"/>
        <v>0.24122807017543862</v>
      </c>
      <c r="F47" s="135">
        <f t="shared" si="2"/>
        <v>3.4161490683229809</v>
      </c>
      <c r="G47" s="134"/>
      <c r="H47" s="48"/>
      <c r="M47" s="47"/>
    </row>
    <row r="48" spans="2:13">
      <c r="B48" s="123">
        <v>60</v>
      </c>
      <c r="C48" s="124">
        <v>2.4</v>
      </c>
      <c r="D48" s="124">
        <v>0.17299999999999999</v>
      </c>
      <c r="E48" s="132">
        <f t="shared" si="1"/>
        <v>0.25</v>
      </c>
      <c r="F48" s="133">
        <f t="shared" si="2"/>
        <v>3.4682080924855496</v>
      </c>
      <c r="G48" s="132"/>
      <c r="H48" s="48"/>
      <c r="M48" s="47"/>
    </row>
    <row r="49" spans="2:13">
      <c r="B49" s="120">
        <v>65</v>
      </c>
      <c r="C49" s="47">
        <v>2.4500000000000002</v>
      </c>
      <c r="D49" s="47">
        <v>0.184</v>
      </c>
      <c r="E49" s="134">
        <f t="shared" si="1"/>
        <v>0.26530612244897961</v>
      </c>
      <c r="F49" s="135">
        <f t="shared" si="2"/>
        <v>3.5326086956521743</v>
      </c>
      <c r="G49" s="134"/>
      <c r="H49" s="48"/>
      <c r="M49" s="47"/>
    </row>
    <row r="50" spans="2:13">
      <c r="B50" s="123">
        <v>70</v>
      </c>
      <c r="C50" s="124">
        <v>2.5</v>
      </c>
      <c r="D50" s="124">
        <v>0.19600000000000001</v>
      </c>
      <c r="E50" s="132">
        <f t="shared" si="1"/>
        <v>0.27999999999999997</v>
      </c>
      <c r="F50" s="133">
        <f t="shared" si="2"/>
        <v>3.5714285714285712</v>
      </c>
      <c r="G50" s="132"/>
      <c r="H50" s="48"/>
      <c r="M50" s="47"/>
    </row>
    <row r="51" spans="2:13">
      <c r="B51" s="120">
        <v>75</v>
      </c>
      <c r="C51" s="47">
        <v>2.5499999999999998</v>
      </c>
      <c r="D51" s="47">
        <v>0.20699999999999999</v>
      </c>
      <c r="E51" s="134">
        <f t="shared" si="1"/>
        <v>0.29411764705882354</v>
      </c>
      <c r="F51" s="135">
        <f t="shared" si="2"/>
        <v>3.623188405797102</v>
      </c>
      <c r="G51" s="134"/>
      <c r="H51" s="48"/>
      <c r="M51" s="47"/>
    </row>
    <row r="52" spans="2:13">
      <c r="B52" s="123">
        <v>80</v>
      </c>
      <c r="C52" s="124">
        <v>2.6</v>
      </c>
      <c r="D52" s="124">
        <v>0.222</v>
      </c>
      <c r="E52" s="132">
        <f t="shared" si="1"/>
        <v>0.30769230769230771</v>
      </c>
      <c r="F52" s="133">
        <f t="shared" si="2"/>
        <v>3.6036036036036041</v>
      </c>
      <c r="G52" s="132"/>
      <c r="H52" s="48"/>
      <c r="M52" s="47"/>
    </row>
    <row r="53" spans="2:13">
      <c r="B53" s="120">
        <v>85</v>
      </c>
      <c r="C53" s="47">
        <v>2.65</v>
      </c>
      <c r="D53" s="47">
        <v>0.23599999999999999</v>
      </c>
      <c r="E53" s="134">
        <f t="shared" si="1"/>
        <v>0.32075471698113206</v>
      </c>
      <c r="F53" s="135">
        <f t="shared" si="2"/>
        <v>3.6016949152542375</v>
      </c>
      <c r="G53" s="134"/>
      <c r="H53" s="48"/>
      <c r="M53" s="47"/>
    </row>
    <row r="54" spans="2:13">
      <c r="B54" s="123">
        <v>90</v>
      </c>
      <c r="C54" s="124">
        <v>2.7</v>
      </c>
      <c r="D54" s="124">
        <v>0.251</v>
      </c>
      <c r="E54" s="132">
        <f t="shared" si="1"/>
        <v>0.33333333333333331</v>
      </c>
      <c r="F54" s="133">
        <f t="shared" si="2"/>
        <v>3.5856573705179282</v>
      </c>
      <c r="G54" s="132"/>
      <c r="H54" s="48"/>
      <c r="M54" s="47"/>
    </row>
    <row r="55" spans="2:13">
      <c r="B55" s="120">
        <v>95</v>
      </c>
      <c r="C55" s="47">
        <v>2.75</v>
      </c>
      <c r="D55" s="47">
        <v>0.26600000000000001</v>
      </c>
      <c r="E55" s="134">
        <f t="shared" si="1"/>
        <v>0.34545454545454546</v>
      </c>
      <c r="F55" s="135">
        <f t="shared" si="2"/>
        <v>3.5714285714285712</v>
      </c>
      <c r="G55" s="134"/>
      <c r="H55" s="48"/>
      <c r="M55" s="47"/>
    </row>
    <row r="56" spans="2:13">
      <c r="B56" s="136">
        <v>100</v>
      </c>
      <c r="C56" s="137">
        <v>2.8</v>
      </c>
      <c r="D56" s="137">
        <v>0.28100000000000003</v>
      </c>
      <c r="E56" s="138">
        <f t="shared" si="1"/>
        <v>0.35714285714285715</v>
      </c>
      <c r="F56" s="139">
        <f t="shared" si="2"/>
        <v>3.5587188612099641</v>
      </c>
      <c r="G56" s="132"/>
      <c r="H56" s="48"/>
      <c r="M56" s="47"/>
    </row>
    <row r="57" spans="2:13">
      <c r="B57" s="47"/>
      <c r="C57" s="47"/>
      <c r="D57" s="47"/>
      <c r="E57" s="47"/>
      <c r="F57" s="47"/>
      <c r="G57" s="47"/>
      <c r="H57" s="48"/>
      <c r="M57" s="47"/>
    </row>
    <row r="58" spans="2:13">
      <c r="B58" s="47"/>
      <c r="C58" s="47"/>
      <c r="D58" s="47"/>
      <c r="E58" s="47"/>
      <c r="F58" s="47"/>
      <c r="G58" s="47"/>
      <c r="H58" s="48"/>
      <c r="M58" s="47"/>
    </row>
    <row r="59" spans="2:13">
      <c r="H59" s="48"/>
    </row>
    <row r="60" spans="2:13">
      <c r="H60" s="48"/>
    </row>
  </sheetData>
  <mergeCells count="13">
    <mergeCell ref="F33:F34"/>
    <mergeCell ref="B4:C5"/>
    <mergeCell ref="C33:C34"/>
    <mergeCell ref="D4:D5"/>
    <mergeCell ref="D21:D22"/>
    <mergeCell ref="D33:D34"/>
    <mergeCell ref="E21:E22"/>
    <mergeCell ref="E33:E34"/>
    <mergeCell ref="B2:E2"/>
    <mergeCell ref="B19:E19"/>
    <mergeCell ref="B31:F31"/>
    <mergeCell ref="B21:B22"/>
    <mergeCell ref="C21:C22"/>
  </mergeCells>
  <pageMargins left="0.7" right="0.7" top="0.75" bottom="0.75" header="0.3" footer="0.3"/>
  <pageSetup paperSize="9" orientation="portrait" r:id="rId1"/>
  <colBreaks count="1" manualBreakCount="1">
    <brk id="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39991454817346722"/>
  </sheetPr>
  <dimension ref="A1:AS79"/>
  <sheetViews>
    <sheetView showGridLines="0" zoomScale="120" zoomScaleNormal="120" workbookViewId="0">
      <pane xSplit="5" ySplit="6" topLeftCell="S7" activePane="bottomRight" state="frozen"/>
      <selection pane="topRight" activeCell="F1" sqref="F1"/>
      <selection pane="bottomLeft" activeCell="A7" sqref="A7"/>
      <selection pane="bottomRight" activeCell="B18" sqref="B18"/>
    </sheetView>
  </sheetViews>
  <sheetFormatPr baseColWidth="10" defaultColWidth="11.44140625" defaultRowHeight="14.4"/>
  <cols>
    <col min="1" max="1" width="11.44140625" style="12"/>
    <col min="2" max="2" width="42.6640625" style="48" customWidth="1"/>
    <col min="3" max="3" width="19.44140625" style="48" customWidth="1"/>
    <col min="4" max="4" width="23.21875" style="48" customWidth="1"/>
    <col min="5" max="5" width="11.44140625" style="48"/>
    <col min="6" max="6" width="14" style="48" customWidth="1"/>
    <col min="7" max="8" width="11.44140625" style="48"/>
    <col min="9" max="11" width="13.88671875" style="48" customWidth="1"/>
    <col min="12" max="14" width="11.44140625" style="48"/>
    <col min="15" max="15" width="8.109375" style="48" customWidth="1"/>
    <col min="16" max="16" width="15.88671875" style="48" bestFit="1" customWidth="1"/>
    <col min="17" max="17" width="11.44140625" style="48"/>
    <col min="18" max="18" width="14" style="48" bestFit="1" customWidth="1"/>
    <col min="19" max="19" width="11.44140625" style="48"/>
    <col min="20" max="20" width="13.33203125" style="48" customWidth="1"/>
    <col min="21" max="21" width="14.109375" style="48" customWidth="1"/>
    <col min="22" max="22" width="12.88671875" style="48" customWidth="1"/>
    <col min="23" max="23" width="12.6640625" style="48" customWidth="1"/>
    <col min="24" max="25" width="11.44140625" style="48"/>
    <col min="26" max="26" width="13.33203125" style="48" customWidth="1"/>
    <col min="27" max="34" width="11.44140625" style="48"/>
    <col min="35" max="35" width="18.5546875" style="48" customWidth="1"/>
    <col min="36" max="36" width="15.109375" style="48" customWidth="1"/>
    <col min="37" max="37" width="11.44140625" style="48"/>
    <col min="38" max="38" width="14.44140625" style="48" customWidth="1"/>
    <col min="39" max="41" width="11.44140625" style="48"/>
    <col min="42" max="42" width="11.33203125" style="48" customWidth="1"/>
    <col min="43" max="43" width="15" style="48" customWidth="1"/>
    <col min="44" max="16384" width="11.44140625" style="48"/>
  </cols>
  <sheetData>
    <row r="1" spans="1:45" ht="21.75" customHeight="1">
      <c r="A1" s="815" t="s">
        <v>283</v>
      </c>
      <c r="B1" s="816"/>
      <c r="C1" s="816"/>
      <c r="D1" s="816"/>
      <c r="E1" s="816"/>
      <c r="F1" s="816"/>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7"/>
    </row>
    <row r="2" spans="1:45" ht="12.75" customHeight="1">
      <c r="A2" s="842" t="s">
        <v>284</v>
      </c>
      <c r="B2" s="837"/>
      <c r="C2" s="837"/>
      <c r="D2" s="837"/>
      <c r="E2" s="837"/>
      <c r="F2" s="837"/>
      <c r="G2" s="837"/>
      <c r="H2" s="837"/>
      <c r="I2" s="837"/>
      <c r="J2" s="837"/>
      <c r="K2" s="837"/>
      <c r="L2" s="837"/>
      <c r="M2" s="837"/>
      <c r="N2" s="837"/>
      <c r="O2" s="838"/>
      <c r="P2" s="836" t="s">
        <v>285</v>
      </c>
      <c r="Q2" s="837"/>
      <c r="R2" s="837"/>
      <c r="S2" s="837"/>
      <c r="T2" s="837"/>
      <c r="U2" s="837"/>
      <c r="V2" s="837"/>
      <c r="W2" s="837"/>
      <c r="X2" s="837"/>
      <c r="Y2" s="837"/>
      <c r="Z2" s="838"/>
      <c r="AA2" s="824" t="s">
        <v>286</v>
      </c>
      <c r="AB2" s="825"/>
      <c r="AC2" s="825"/>
      <c r="AD2" s="825"/>
      <c r="AE2" s="825"/>
      <c r="AF2" s="825"/>
      <c r="AG2" s="825"/>
      <c r="AH2" s="825"/>
      <c r="AI2" s="825"/>
      <c r="AJ2" s="825"/>
      <c r="AK2" s="825"/>
      <c r="AL2" s="825"/>
      <c r="AM2" s="825"/>
      <c r="AN2" s="825"/>
      <c r="AO2" s="825"/>
      <c r="AP2" s="825"/>
      <c r="AQ2" s="822" t="s">
        <v>287</v>
      </c>
    </row>
    <row r="3" spans="1:45" ht="14.4" customHeight="1">
      <c r="A3" s="843"/>
      <c r="B3" s="840"/>
      <c r="C3" s="840"/>
      <c r="D3" s="840"/>
      <c r="E3" s="840"/>
      <c r="F3" s="840"/>
      <c r="G3" s="840"/>
      <c r="H3" s="840"/>
      <c r="I3" s="840"/>
      <c r="J3" s="840"/>
      <c r="K3" s="840"/>
      <c r="L3" s="840"/>
      <c r="M3" s="840"/>
      <c r="N3" s="840"/>
      <c r="O3" s="841"/>
      <c r="P3" s="839"/>
      <c r="Q3" s="840"/>
      <c r="R3" s="840"/>
      <c r="S3" s="840"/>
      <c r="T3" s="840"/>
      <c r="U3" s="840"/>
      <c r="V3" s="840"/>
      <c r="W3" s="840"/>
      <c r="X3" s="840"/>
      <c r="Y3" s="840"/>
      <c r="Z3" s="841"/>
      <c r="AA3" s="835" t="s">
        <v>288</v>
      </c>
      <c r="AB3" s="818" t="s">
        <v>289</v>
      </c>
      <c r="AC3" s="818"/>
      <c r="AD3" s="818"/>
      <c r="AE3" s="818"/>
      <c r="AF3" s="818" t="s">
        <v>290</v>
      </c>
      <c r="AG3" s="818"/>
      <c r="AH3" s="818"/>
      <c r="AI3" s="821" t="s">
        <v>961</v>
      </c>
      <c r="AJ3" s="844" t="s">
        <v>1081</v>
      </c>
      <c r="AK3" s="832" t="s">
        <v>291</v>
      </c>
      <c r="AL3" s="833"/>
      <c r="AM3" s="821" t="s">
        <v>873</v>
      </c>
      <c r="AN3" s="821" t="s">
        <v>876</v>
      </c>
      <c r="AO3" s="821" t="s">
        <v>874</v>
      </c>
      <c r="AP3" s="826" t="s">
        <v>875</v>
      </c>
      <c r="AQ3" s="822"/>
    </row>
    <row r="4" spans="1:45" ht="57.75" customHeight="1">
      <c r="A4" s="351" t="s">
        <v>293</v>
      </c>
      <c r="B4" s="95" t="s">
        <v>294</v>
      </c>
      <c r="C4" s="94" t="s">
        <v>295</v>
      </c>
      <c r="D4" s="95" t="s">
        <v>296</v>
      </c>
      <c r="E4" s="94" t="s">
        <v>297</v>
      </c>
      <c r="F4" s="94" t="s">
        <v>298</v>
      </c>
      <c r="G4" s="94" t="s">
        <v>240</v>
      </c>
      <c r="H4" s="94" t="s">
        <v>242</v>
      </c>
      <c r="I4" s="95" t="s">
        <v>1070</v>
      </c>
      <c r="J4" s="95" t="s">
        <v>1071</v>
      </c>
      <c r="K4" s="95" t="s">
        <v>1072</v>
      </c>
      <c r="L4" s="94" t="s">
        <v>299</v>
      </c>
      <c r="M4" s="94" t="s">
        <v>300</v>
      </c>
      <c r="N4" s="95" t="s">
        <v>301</v>
      </c>
      <c r="O4" s="95" t="s">
        <v>302</v>
      </c>
      <c r="P4" s="95" t="s">
        <v>303</v>
      </c>
      <c r="Q4" s="95" t="s">
        <v>304</v>
      </c>
      <c r="R4" s="470" t="s">
        <v>996</v>
      </c>
      <c r="S4" s="95" t="s">
        <v>305</v>
      </c>
      <c r="T4" s="470" t="s">
        <v>997</v>
      </c>
      <c r="U4" s="470" t="s">
        <v>959</v>
      </c>
      <c r="V4" s="95" t="s">
        <v>306</v>
      </c>
      <c r="W4" s="470" t="s">
        <v>1043</v>
      </c>
      <c r="X4" s="95" t="s">
        <v>307</v>
      </c>
      <c r="Y4" s="98" t="s">
        <v>870</v>
      </c>
      <c r="Z4" s="471" t="s">
        <v>958</v>
      </c>
      <c r="AA4" s="835"/>
      <c r="AB4" s="507" t="s">
        <v>1073</v>
      </c>
      <c r="AC4" s="507" t="s">
        <v>1074</v>
      </c>
      <c r="AD4" s="507" t="s">
        <v>1075</v>
      </c>
      <c r="AE4" s="540" t="s">
        <v>309</v>
      </c>
      <c r="AF4" s="99" t="s">
        <v>310</v>
      </c>
      <c r="AG4" s="99" t="s">
        <v>311</v>
      </c>
      <c r="AH4" s="540" t="s">
        <v>312</v>
      </c>
      <c r="AI4" s="821"/>
      <c r="AJ4" s="845"/>
      <c r="AK4" s="540" t="s">
        <v>313</v>
      </c>
      <c r="AL4" s="470" t="s">
        <v>966</v>
      </c>
      <c r="AM4" s="821"/>
      <c r="AN4" s="821"/>
      <c r="AO4" s="821"/>
      <c r="AP4" s="826"/>
      <c r="AQ4" s="822"/>
      <c r="AS4" s="406" t="s">
        <v>944</v>
      </c>
    </row>
    <row r="5" spans="1:45" ht="15" customHeight="1">
      <c r="A5" s="354" t="s">
        <v>314</v>
      </c>
      <c r="B5" s="355"/>
      <c r="C5" s="356"/>
      <c r="D5" s="347"/>
      <c r="E5" s="349"/>
      <c r="F5" s="349"/>
      <c r="G5" s="349">
        <f>'A. Resumen Costes Personal'!D19</f>
        <v>2025</v>
      </c>
      <c r="H5" s="349">
        <f>'A. Resumen Costes Personal'!D20</f>
        <v>2033</v>
      </c>
      <c r="I5" s="347" t="s">
        <v>11</v>
      </c>
      <c r="J5" s="347"/>
      <c r="K5" s="347"/>
      <c r="L5" s="349" t="s">
        <v>13</v>
      </c>
      <c r="M5" s="349" t="s">
        <v>315</v>
      </c>
      <c r="N5" s="349"/>
      <c r="O5" s="347"/>
      <c r="P5" s="347" t="s">
        <v>316</v>
      </c>
      <c r="Q5" s="347" t="s">
        <v>317</v>
      </c>
      <c r="R5" s="347"/>
      <c r="S5" s="347" t="s">
        <v>228</v>
      </c>
      <c r="T5" s="347"/>
      <c r="U5" s="347"/>
      <c r="V5" s="347" t="s">
        <v>318</v>
      </c>
      <c r="W5" s="347"/>
      <c r="X5" s="347"/>
      <c r="Y5" s="347" t="s">
        <v>319</v>
      </c>
      <c r="Z5" s="347" t="s">
        <v>872</v>
      </c>
      <c r="AA5" s="357"/>
      <c r="AB5" s="350"/>
      <c r="AC5" s="350"/>
      <c r="AD5" s="350"/>
      <c r="AE5" s="350"/>
      <c r="AF5" s="350"/>
      <c r="AG5" s="358">
        <f>'B.0.ConsumiblesMaquinaria'!J25</f>
        <v>4.8</v>
      </c>
      <c r="AH5" s="350"/>
      <c r="AI5" s="350"/>
      <c r="AJ5" s="350"/>
      <c r="AK5" s="359"/>
      <c r="AL5" s="359"/>
      <c r="AM5" s="360"/>
      <c r="AN5" s="360"/>
      <c r="AO5" s="360"/>
      <c r="AP5" s="360"/>
      <c r="AQ5" s="823"/>
    </row>
    <row r="6" spans="1:45">
      <c r="A6" s="819" t="s">
        <v>320</v>
      </c>
      <c r="B6" s="820"/>
      <c r="C6" s="820"/>
      <c r="D6" s="93"/>
      <c r="E6" s="93"/>
      <c r="F6" s="93"/>
      <c r="G6" s="93"/>
      <c r="H6" s="93"/>
      <c r="I6" s="93"/>
      <c r="J6" s="501">
        <v>1</v>
      </c>
      <c r="K6" s="93"/>
      <c r="L6" s="93"/>
      <c r="M6" s="93"/>
      <c r="N6" s="93"/>
      <c r="O6" s="93"/>
      <c r="P6" s="93"/>
      <c r="Q6" s="93"/>
      <c r="R6" s="93"/>
      <c r="S6" s="501">
        <f>'B. Resumen Costes Veh_Maq'!D9</f>
        <v>5.3999999999999999E-2</v>
      </c>
      <c r="T6" s="93"/>
      <c r="U6" s="93"/>
      <c r="V6" s="501">
        <v>0.125</v>
      </c>
      <c r="W6" s="93"/>
      <c r="X6" s="93"/>
      <c r="Y6" s="93"/>
      <c r="Z6" s="93"/>
      <c r="AA6" s="93"/>
      <c r="AB6" s="93"/>
      <c r="AC6" s="93"/>
      <c r="AD6" s="93"/>
      <c r="AE6" s="93"/>
      <c r="AF6" s="93"/>
      <c r="AG6" s="93"/>
      <c r="AH6" s="93"/>
      <c r="AI6" s="93"/>
      <c r="AJ6" s="93"/>
      <c r="AK6" s="93"/>
      <c r="AL6" s="93"/>
      <c r="AM6" s="93"/>
      <c r="AN6" s="93"/>
      <c r="AO6" s="93"/>
      <c r="AP6" s="93"/>
      <c r="AQ6" s="342"/>
    </row>
    <row r="7" spans="1:45" s="12" customFormat="1">
      <c r="A7" s="307">
        <v>0</v>
      </c>
      <c r="B7" s="891" t="s">
        <v>1135</v>
      </c>
      <c r="C7" s="514" t="s">
        <v>1044</v>
      </c>
      <c r="D7" s="290" t="s">
        <v>322</v>
      </c>
      <c r="E7" s="290" t="s">
        <v>327</v>
      </c>
      <c r="F7" s="290">
        <v>2025</v>
      </c>
      <c r="G7" s="290">
        <v>2025</v>
      </c>
      <c r="H7" s="290">
        <f>H$5</f>
        <v>2033</v>
      </c>
      <c r="I7" s="291">
        <v>121325</v>
      </c>
      <c r="J7" s="506">
        <f>$J$6</f>
        <v>1</v>
      </c>
      <c r="K7" s="436">
        <f>I7*J7</f>
        <v>121325</v>
      </c>
      <c r="L7" s="306">
        <v>8</v>
      </c>
      <c r="M7" s="291">
        <f>H7-G7</f>
        <v>8</v>
      </c>
      <c r="N7" s="291"/>
      <c r="O7" s="291">
        <v>3</v>
      </c>
      <c r="P7" s="291">
        <f>K7*A7</f>
        <v>0</v>
      </c>
      <c r="Q7" s="291">
        <f>IF(A7&gt;0,K7/L7,0)</f>
        <v>0</v>
      </c>
      <c r="R7" s="291">
        <f>Q7*A7</f>
        <v>0</v>
      </c>
      <c r="S7" s="291">
        <f>IF(A7=0,0,PMT($S$6,L7,-K7)-Q7)</f>
        <v>0</v>
      </c>
      <c r="T7" s="436">
        <f>S7*A7</f>
        <v>0</v>
      </c>
      <c r="U7" s="436">
        <f>(S7+Q7)*A7</f>
        <v>0</v>
      </c>
      <c r="V7" s="436">
        <f>Q7*V$6</f>
        <v>0</v>
      </c>
      <c r="W7" s="291">
        <f>V7*A7</f>
        <v>0</v>
      </c>
      <c r="X7" s="426">
        <f t="shared" ref="X7" si="0">Q7*(L7-(M7+(G7-F7)))</f>
        <v>0</v>
      </c>
      <c r="Y7" s="291">
        <f>IF(A7&gt;0,(Q7+S7+V7),0)</f>
        <v>0</v>
      </c>
      <c r="Z7" s="308">
        <f>(IF(A7&gt;0,(Q7+S7+V7),0)*A7)</f>
        <v>0</v>
      </c>
      <c r="AA7" s="312">
        <v>20000</v>
      </c>
      <c r="AB7" s="291">
        <v>25</v>
      </c>
      <c r="AC7" s="291">
        <f t="shared" ref="AC7:AC24" si="1">ROUND(AA7*AB7,2)/100</f>
        <v>5000</v>
      </c>
      <c r="AD7" s="291">
        <f>'B.0.ConsumiblesMaquinaria'!$J$27</f>
        <v>0.99</v>
      </c>
      <c r="AE7" s="291">
        <f>IF(A7&gt;0,+ROUND(AD7*AC7/248,2),0)</f>
        <v>0</v>
      </c>
      <c r="AF7" s="292">
        <f>0.002038*AA7*0.7</f>
        <v>28.531999999999996</v>
      </c>
      <c r="AG7" s="291">
        <f>AG$5</f>
        <v>4.8</v>
      </c>
      <c r="AH7" s="291">
        <f>IF(A7&gt;0,+ROUND(AG7*AF7/248,2),0)</f>
        <v>0</v>
      </c>
      <c r="AI7" s="306">
        <f t="shared" ref="AI7:AI24" si="2">AH7+AE7</f>
        <v>0</v>
      </c>
      <c r="AJ7" s="306">
        <f>(AI7*AN7)*A7</f>
        <v>0</v>
      </c>
      <c r="AK7" s="291">
        <v>0.4</v>
      </c>
      <c r="AL7" s="291">
        <f>(AK7*AN7)*A7</f>
        <v>0</v>
      </c>
      <c r="AM7" s="291">
        <f>IF(A7&gt;0,+AH7+AE7+AK7,0)</f>
        <v>0</v>
      </c>
      <c r="AN7" s="291">
        <v>248</v>
      </c>
      <c r="AO7" s="291">
        <f>AM7*AN7</f>
        <v>0</v>
      </c>
      <c r="AP7" s="291">
        <f>AO7*A7</f>
        <v>0</v>
      </c>
      <c r="AQ7" s="308">
        <f>Z7+AP7</f>
        <v>0</v>
      </c>
    </row>
    <row r="8" spans="1:45" s="12" customFormat="1">
      <c r="A8" s="307">
        <v>1</v>
      </c>
      <c r="B8" s="290" t="s">
        <v>1130</v>
      </c>
      <c r="C8" s="518" t="s">
        <v>321</v>
      </c>
      <c r="D8" s="290" t="s">
        <v>322</v>
      </c>
      <c r="E8" s="290" t="s">
        <v>323</v>
      </c>
      <c r="F8" s="290">
        <f>G8</f>
        <v>2025</v>
      </c>
      <c r="G8" s="290">
        <f>G$5</f>
        <v>2025</v>
      </c>
      <c r="H8" s="290">
        <f>H$5</f>
        <v>2033</v>
      </c>
      <c r="I8" s="291">
        <v>256350</v>
      </c>
      <c r="J8" s="506">
        <f t="shared" ref="J8:J24" si="3">$J$6</f>
        <v>1</v>
      </c>
      <c r="K8" s="436">
        <f t="shared" ref="K8:K24" si="4">I8*J8</f>
        <v>256350</v>
      </c>
      <c r="L8" s="306">
        <v>8</v>
      </c>
      <c r="M8" s="291">
        <f>H8-G8</f>
        <v>8</v>
      </c>
      <c r="N8" s="291"/>
      <c r="O8" s="291">
        <v>3</v>
      </c>
      <c r="P8" s="291">
        <f>K8*A8</f>
        <v>256350</v>
      </c>
      <c r="Q8" s="291">
        <f>IF(A8&gt;0,K8/L8,0)</f>
        <v>32043.75</v>
      </c>
      <c r="R8" s="291">
        <f>Q8*A8</f>
        <v>32043.75</v>
      </c>
      <c r="S8" s="291">
        <f>IF(A8=0,0,PMT($S$6,L8,-K8)-Q8)</f>
        <v>8262.9766539259508</v>
      </c>
      <c r="T8" s="436">
        <f>S8*A8</f>
        <v>8262.9766539259508</v>
      </c>
      <c r="U8" s="436">
        <f>(S8+Q8)*A8</f>
        <v>40306.726653925951</v>
      </c>
      <c r="V8" s="436">
        <f>Q8*V$6</f>
        <v>4005.46875</v>
      </c>
      <c r="W8" s="291">
        <f>V8*A8</f>
        <v>4005.46875</v>
      </c>
      <c r="X8" s="426">
        <f t="shared" ref="X8" si="5">Q8*(L8-(M8+(G8-F8)))</f>
        <v>0</v>
      </c>
      <c r="Y8" s="291">
        <f>IF(A8&gt;0,(Q8+S8+V8),0)</f>
        <v>44312.195403925951</v>
      </c>
      <c r="Z8" s="308">
        <f>(IF(A8&gt;0,(Q8+S8+V8),0)*A8)</f>
        <v>44312.195403925951</v>
      </c>
      <c r="AA8" s="312">
        <f t="shared" ref="AA8:AA24" si="6">20000</f>
        <v>20000</v>
      </c>
      <c r="AB8" s="291">
        <v>25</v>
      </c>
      <c r="AC8" s="291">
        <f t="shared" si="1"/>
        <v>5000</v>
      </c>
      <c r="AD8" s="291">
        <f>'B.0.ConsumiblesMaquinaria'!$J$23</f>
        <v>1.6</v>
      </c>
      <c r="AE8" s="291">
        <f>IF(A8&gt;0,+ROUND(AD8*AC8/248,2),0)</f>
        <v>32.26</v>
      </c>
      <c r="AF8" s="292">
        <f t="shared" ref="AF8:AF24" si="7">0.002038*AA8*0.7</f>
        <v>28.531999999999996</v>
      </c>
      <c r="AG8" s="291">
        <f>AG$5</f>
        <v>4.8</v>
      </c>
      <c r="AH8" s="291">
        <f>IF(A8&gt;0,+ROUND(AG8*AF8/248,2),0)</f>
        <v>0.55000000000000004</v>
      </c>
      <c r="AI8" s="306">
        <f>AH8+AE8</f>
        <v>32.809999999999995</v>
      </c>
      <c r="AJ8" s="306">
        <f>(AI8*AN8)*A8</f>
        <v>8136.8799999999992</v>
      </c>
      <c r="AK8" s="291">
        <v>0.4</v>
      </c>
      <c r="AL8" s="291">
        <f>(AK8*AN8)*A8</f>
        <v>99.2</v>
      </c>
      <c r="AM8" s="291">
        <f>IF(A8&gt;0,+AH8+AE8+AK8,0)</f>
        <v>33.209999999999994</v>
      </c>
      <c r="AN8" s="291">
        <v>248</v>
      </c>
      <c r="AO8" s="291">
        <f>AM8*AN8</f>
        <v>8236.0799999999981</v>
      </c>
      <c r="AP8" s="291">
        <f>AO8*A8</f>
        <v>8236.0799999999981</v>
      </c>
      <c r="AQ8" s="308">
        <f>Z8+AP8</f>
        <v>52548.275403925945</v>
      </c>
      <c r="AR8" s="538"/>
    </row>
    <row r="9" spans="1:45" s="12" customFormat="1" ht="28.2" customHeight="1">
      <c r="A9" s="307">
        <v>0</v>
      </c>
      <c r="B9" s="891" t="s">
        <v>1149</v>
      </c>
      <c r="C9" s="515" t="s">
        <v>1069</v>
      </c>
      <c r="D9" s="290" t="s">
        <v>322</v>
      </c>
      <c r="E9" s="290" t="s">
        <v>324</v>
      </c>
      <c r="F9" s="290">
        <f t="shared" ref="F9" si="8">G9</f>
        <v>2025</v>
      </c>
      <c r="G9" s="290">
        <f t="shared" ref="G9:H9" si="9">G$5</f>
        <v>2025</v>
      </c>
      <c r="H9" s="290">
        <f t="shared" si="9"/>
        <v>2033</v>
      </c>
      <c r="I9" s="291">
        <v>331000</v>
      </c>
      <c r="J9" s="506">
        <f t="shared" si="3"/>
        <v>1</v>
      </c>
      <c r="K9" s="436">
        <f t="shared" si="4"/>
        <v>331000</v>
      </c>
      <c r="L9" s="306">
        <v>8</v>
      </c>
      <c r="M9" s="291">
        <f t="shared" ref="M9" si="10">H9-G9</f>
        <v>8</v>
      </c>
      <c r="N9" s="291"/>
      <c r="O9" s="291">
        <v>3</v>
      </c>
      <c r="P9" s="291">
        <f t="shared" ref="P9:P24" si="11">K9*A9</f>
        <v>0</v>
      </c>
      <c r="Q9" s="291">
        <f t="shared" ref="Q9:Q24" si="12">IF(A9&gt;0,K9/L9,0)</f>
        <v>0</v>
      </c>
      <c r="R9" s="291">
        <f t="shared" ref="R9:R24" si="13">Q9*A9</f>
        <v>0</v>
      </c>
      <c r="S9" s="291">
        <f t="shared" ref="S9:S24" si="14">IF(A9=0,0,PMT($S$6,L9,-K9)-Q9)</f>
        <v>0</v>
      </c>
      <c r="T9" s="436">
        <f t="shared" ref="T9:T24" si="15">S9*A9</f>
        <v>0</v>
      </c>
      <c r="U9" s="436">
        <f t="shared" ref="U9:U24" si="16">(S9+Q9)*A9</f>
        <v>0</v>
      </c>
      <c r="V9" s="436">
        <f t="shared" ref="V9:V24" si="17">Q9*V$6</f>
        <v>0</v>
      </c>
      <c r="W9" s="291">
        <f t="shared" ref="W9:W24" si="18">V9*A9</f>
        <v>0</v>
      </c>
      <c r="X9" s="426">
        <f t="shared" ref="X9:X24" si="19">Q9*(L9-(M9+(G9-F9)))</f>
        <v>0</v>
      </c>
      <c r="Y9" s="291">
        <f t="shared" ref="Y9:Y24" si="20">IF(A9&gt;0,(Q9+S9+V9),0)</f>
        <v>0</v>
      </c>
      <c r="Z9" s="308">
        <f t="shared" ref="Z9:Z24" si="21">(IF(A9&gt;0,(Q9+S9+V9),0)*A9)</f>
        <v>0</v>
      </c>
      <c r="AA9" s="312">
        <f t="shared" si="6"/>
        <v>20000</v>
      </c>
      <c r="AB9" s="291">
        <v>30</v>
      </c>
      <c r="AC9" s="291">
        <f t="shared" si="1"/>
        <v>6000</v>
      </c>
      <c r="AD9" s="291">
        <f>'B.0.ConsumiblesMaquinaria'!$J$26</f>
        <v>0.4</v>
      </c>
      <c r="AE9" s="291">
        <f t="shared" ref="AE9:AE24" si="22">IF(A9&gt;0,+ROUND(AD9*AC9/248,2),0)</f>
        <v>0</v>
      </c>
      <c r="AF9" s="292">
        <v>0</v>
      </c>
      <c r="AG9" s="291">
        <v>0</v>
      </c>
      <c r="AH9" s="291">
        <f t="shared" ref="AH9:AH24" si="23">IF(A9&gt;0,+ROUND(AG9*AF9/248,2),0)</f>
        <v>0</v>
      </c>
      <c r="AI9" s="306">
        <f t="shared" si="2"/>
        <v>0</v>
      </c>
      <c r="AJ9" s="306">
        <f t="shared" ref="AJ9:AJ24" si="24">(AI9*AN9)*A9</f>
        <v>0</v>
      </c>
      <c r="AK9" s="291">
        <v>0.4</v>
      </c>
      <c r="AL9" s="291">
        <f t="shared" ref="AL9:AL22" si="25">(AK9*AN9)*A9</f>
        <v>0</v>
      </c>
      <c r="AM9" s="291">
        <f t="shared" ref="AM9:AM24" si="26">IF(A9&gt;0,+AH9+AE9+AK9,0)</f>
        <v>0</v>
      </c>
      <c r="AN9" s="291">
        <v>248</v>
      </c>
      <c r="AO9" s="291">
        <f t="shared" ref="AO9:AO24" si="27">AM9*AN9</f>
        <v>0</v>
      </c>
      <c r="AP9" s="291">
        <f t="shared" ref="AP9:AP24" si="28">AO9*A9</f>
        <v>0</v>
      </c>
      <c r="AQ9" s="308">
        <f t="shared" ref="AQ9:AQ24" si="29">Z9+AP9</f>
        <v>0</v>
      </c>
      <c r="AR9" s="538"/>
    </row>
    <row r="10" spans="1:45" s="12" customFormat="1">
      <c r="A10" s="307">
        <v>0</v>
      </c>
      <c r="B10" s="891" t="s">
        <v>1143</v>
      </c>
      <c r="C10" s="518" t="s">
        <v>321</v>
      </c>
      <c r="D10" s="290" t="s">
        <v>322</v>
      </c>
      <c r="E10" s="290" t="s">
        <v>324</v>
      </c>
      <c r="F10" s="290">
        <f t="shared" ref="F10:F24" si="30">G10</f>
        <v>2025</v>
      </c>
      <c r="G10" s="290">
        <f t="shared" ref="G10:H24" si="31">G$5</f>
        <v>2025</v>
      </c>
      <c r="H10" s="290">
        <f t="shared" si="31"/>
        <v>2033</v>
      </c>
      <c r="I10" s="291">
        <v>88125</v>
      </c>
      <c r="J10" s="506">
        <f t="shared" si="3"/>
        <v>1</v>
      </c>
      <c r="K10" s="436">
        <f t="shared" si="4"/>
        <v>88125</v>
      </c>
      <c r="L10" s="306">
        <v>8</v>
      </c>
      <c r="M10" s="291">
        <f t="shared" ref="M10:M24" si="32">H10-G10</f>
        <v>8</v>
      </c>
      <c r="N10" s="291"/>
      <c r="O10" s="291">
        <v>3</v>
      </c>
      <c r="P10" s="291">
        <f t="shared" si="11"/>
        <v>0</v>
      </c>
      <c r="Q10" s="291">
        <f t="shared" si="12"/>
        <v>0</v>
      </c>
      <c r="R10" s="291">
        <f t="shared" si="13"/>
        <v>0</v>
      </c>
      <c r="S10" s="291">
        <f t="shared" si="14"/>
        <v>0</v>
      </c>
      <c r="T10" s="436">
        <f t="shared" si="15"/>
        <v>0</v>
      </c>
      <c r="U10" s="436">
        <f t="shared" si="16"/>
        <v>0</v>
      </c>
      <c r="V10" s="436">
        <f t="shared" si="17"/>
        <v>0</v>
      </c>
      <c r="W10" s="291">
        <f t="shared" si="18"/>
        <v>0</v>
      </c>
      <c r="X10" s="426">
        <f t="shared" si="19"/>
        <v>0</v>
      </c>
      <c r="Y10" s="291">
        <f t="shared" si="20"/>
        <v>0</v>
      </c>
      <c r="Z10" s="308">
        <f t="shared" si="21"/>
        <v>0</v>
      </c>
      <c r="AA10" s="312">
        <f t="shared" si="6"/>
        <v>20000</v>
      </c>
      <c r="AB10" s="291">
        <v>16</v>
      </c>
      <c r="AC10" s="291">
        <f t="shared" si="1"/>
        <v>3200</v>
      </c>
      <c r="AD10" s="291">
        <f>'B.0.ConsumiblesMaquinaria'!$J$23</f>
        <v>1.6</v>
      </c>
      <c r="AE10" s="291">
        <f t="shared" si="22"/>
        <v>0</v>
      </c>
      <c r="AF10" s="292">
        <f t="shared" si="7"/>
        <v>28.531999999999996</v>
      </c>
      <c r="AG10" s="291">
        <f t="shared" ref="AG10:AG18" si="33">AG$5</f>
        <v>4.8</v>
      </c>
      <c r="AH10" s="291">
        <f t="shared" si="23"/>
        <v>0</v>
      </c>
      <c r="AI10" s="306">
        <f t="shared" si="2"/>
        <v>0</v>
      </c>
      <c r="AJ10" s="306">
        <f t="shared" si="24"/>
        <v>0</v>
      </c>
      <c r="AK10" s="291">
        <v>0.35249999999999998</v>
      </c>
      <c r="AL10" s="291">
        <f t="shared" si="25"/>
        <v>0</v>
      </c>
      <c r="AM10" s="291">
        <f t="shared" si="26"/>
        <v>0</v>
      </c>
      <c r="AN10" s="291">
        <v>248</v>
      </c>
      <c r="AO10" s="291">
        <f t="shared" si="27"/>
        <v>0</v>
      </c>
      <c r="AP10" s="291">
        <f t="shared" si="28"/>
        <v>0</v>
      </c>
      <c r="AQ10" s="308">
        <f t="shared" si="29"/>
        <v>0</v>
      </c>
      <c r="AR10" s="538"/>
    </row>
    <row r="11" spans="1:45" s="12" customFormat="1">
      <c r="A11" s="307">
        <v>0</v>
      </c>
      <c r="B11" s="891" t="s">
        <v>1143</v>
      </c>
      <c r="C11" s="514" t="s">
        <v>1044</v>
      </c>
      <c r="D11" s="290" t="s">
        <v>322</v>
      </c>
      <c r="E11" s="290" t="s">
        <v>326</v>
      </c>
      <c r="F11" s="290">
        <v>2025</v>
      </c>
      <c r="G11" s="290">
        <v>2025</v>
      </c>
      <c r="H11" s="290">
        <v>2025</v>
      </c>
      <c r="I11" s="291">
        <v>59750</v>
      </c>
      <c r="J11" s="506">
        <f t="shared" si="3"/>
        <v>1</v>
      </c>
      <c r="K11" s="436">
        <f t="shared" si="4"/>
        <v>59750</v>
      </c>
      <c r="L11" s="306">
        <v>8</v>
      </c>
      <c r="M11" s="291">
        <v>0</v>
      </c>
      <c r="N11" s="291"/>
      <c r="O11" s="291">
        <v>3</v>
      </c>
      <c r="P11" s="291">
        <f t="shared" si="11"/>
        <v>0</v>
      </c>
      <c r="Q11" s="291">
        <f t="shared" si="12"/>
        <v>0</v>
      </c>
      <c r="R11" s="291">
        <f t="shared" si="13"/>
        <v>0</v>
      </c>
      <c r="S11" s="291">
        <f t="shared" si="14"/>
        <v>0</v>
      </c>
      <c r="T11" s="436">
        <f t="shared" si="15"/>
        <v>0</v>
      </c>
      <c r="U11" s="436">
        <f t="shared" si="16"/>
        <v>0</v>
      </c>
      <c r="V11" s="436">
        <f t="shared" si="17"/>
        <v>0</v>
      </c>
      <c r="W11" s="291">
        <f t="shared" si="18"/>
        <v>0</v>
      </c>
      <c r="X11" s="426">
        <f t="shared" si="19"/>
        <v>0</v>
      </c>
      <c r="Y11" s="291">
        <f t="shared" si="20"/>
        <v>0</v>
      </c>
      <c r="Z11" s="308">
        <f t="shared" si="21"/>
        <v>0</v>
      </c>
      <c r="AA11" s="312">
        <v>20000</v>
      </c>
      <c r="AB11" s="291">
        <v>25</v>
      </c>
      <c r="AC11" s="291">
        <f t="shared" si="1"/>
        <v>5000</v>
      </c>
      <c r="AD11" s="291">
        <f>'B.0.ConsumiblesMaquinaria'!$J$27</f>
        <v>0.99</v>
      </c>
      <c r="AE11" s="291">
        <f t="shared" si="22"/>
        <v>0</v>
      </c>
      <c r="AF11" s="292">
        <f t="shared" si="7"/>
        <v>28.531999999999996</v>
      </c>
      <c r="AG11" s="291">
        <v>4.8</v>
      </c>
      <c r="AH11" s="291">
        <f t="shared" si="23"/>
        <v>0</v>
      </c>
      <c r="AI11" s="306">
        <f t="shared" si="2"/>
        <v>0</v>
      </c>
      <c r="AJ11" s="306">
        <f t="shared" si="24"/>
        <v>0</v>
      </c>
      <c r="AK11" s="291">
        <v>0.33</v>
      </c>
      <c r="AL11" s="291">
        <f t="shared" si="25"/>
        <v>0</v>
      </c>
      <c r="AM11" s="291">
        <f t="shared" si="26"/>
        <v>0</v>
      </c>
      <c r="AN11" s="291">
        <v>248</v>
      </c>
      <c r="AO11" s="291">
        <f t="shared" si="27"/>
        <v>0</v>
      </c>
      <c r="AP11" s="291">
        <f t="shared" si="28"/>
        <v>0</v>
      </c>
      <c r="AQ11" s="308">
        <f t="shared" si="29"/>
        <v>0</v>
      </c>
      <c r="AR11" s="538"/>
    </row>
    <row r="12" spans="1:45" s="12" customFormat="1">
      <c r="A12" s="307">
        <v>0</v>
      </c>
      <c r="B12" s="891" t="s">
        <v>1144</v>
      </c>
      <c r="C12" s="514" t="s">
        <v>1044</v>
      </c>
      <c r="D12" s="290" t="s">
        <v>322</v>
      </c>
      <c r="E12" s="290" t="s">
        <v>327</v>
      </c>
      <c r="F12" s="290">
        <v>2025</v>
      </c>
      <c r="G12" s="290">
        <v>2025</v>
      </c>
      <c r="H12" s="290">
        <v>2025</v>
      </c>
      <c r="I12" s="291">
        <v>84156.25</v>
      </c>
      <c r="J12" s="506">
        <f t="shared" si="3"/>
        <v>1</v>
      </c>
      <c r="K12" s="436">
        <f t="shared" si="4"/>
        <v>84156.25</v>
      </c>
      <c r="L12" s="306">
        <v>8</v>
      </c>
      <c r="M12" s="291">
        <v>0</v>
      </c>
      <c r="N12" s="291"/>
      <c r="O12" s="291">
        <v>3</v>
      </c>
      <c r="P12" s="291">
        <f t="shared" si="11"/>
        <v>0</v>
      </c>
      <c r="Q12" s="291">
        <f t="shared" si="12"/>
        <v>0</v>
      </c>
      <c r="R12" s="291">
        <f t="shared" si="13"/>
        <v>0</v>
      </c>
      <c r="S12" s="291">
        <f t="shared" si="14"/>
        <v>0</v>
      </c>
      <c r="T12" s="436">
        <f t="shared" si="15"/>
        <v>0</v>
      </c>
      <c r="U12" s="436">
        <f t="shared" si="16"/>
        <v>0</v>
      </c>
      <c r="V12" s="436">
        <f t="shared" si="17"/>
        <v>0</v>
      </c>
      <c r="W12" s="291">
        <f t="shared" si="18"/>
        <v>0</v>
      </c>
      <c r="X12" s="426">
        <f t="shared" si="19"/>
        <v>0</v>
      </c>
      <c r="Y12" s="291">
        <f t="shared" si="20"/>
        <v>0</v>
      </c>
      <c r="Z12" s="308">
        <f t="shared" si="21"/>
        <v>0</v>
      </c>
      <c r="AA12" s="312">
        <v>20000</v>
      </c>
      <c r="AB12" s="291">
        <v>12</v>
      </c>
      <c r="AC12" s="291">
        <f t="shared" si="1"/>
        <v>2400</v>
      </c>
      <c r="AD12" s="291">
        <f>'B.0.ConsumiblesMaquinaria'!$J$27</f>
        <v>0.99</v>
      </c>
      <c r="AE12" s="291">
        <f t="shared" si="22"/>
        <v>0</v>
      </c>
      <c r="AF12" s="292">
        <f t="shared" si="7"/>
        <v>28.531999999999996</v>
      </c>
      <c r="AG12" s="291">
        <v>4.8</v>
      </c>
      <c r="AH12" s="291">
        <f t="shared" si="23"/>
        <v>0</v>
      </c>
      <c r="AI12" s="306">
        <f t="shared" si="2"/>
        <v>0</v>
      </c>
      <c r="AJ12" s="306">
        <f t="shared" si="24"/>
        <v>0</v>
      </c>
      <c r="AK12" s="291">
        <v>0.33662500000000001</v>
      </c>
      <c r="AL12" s="291">
        <f t="shared" si="25"/>
        <v>0</v>
      </c>
      <c r="AM12" s="291">
        <f t="shared" si="26"/>
        <v>0</v>
      </c>
      <c r="AN12" s="291">
        <v>248</v>
      </c>
      <c r="AO12" s="291">
        <f t="shared" si="27"/>
        <v>0</v>
      </c>
      <c r="AP12" s="291">
        <f t="shared" si="28"/>
        <v>0</v>
      </c>
      <c r="AQ12" s="308">
        <f t="shared" si="29"/>
        <v>0</v>
      </c>
      <c r="AR12" s="538"/>
    </row>
    <row r="13" spans="1:45" s="12" customFormat="1">
      <c r="A13" s="307">
        <v>0</v>
      </c>
      <c r="B13" s="290" t="s">
        <v>325</v>
      </c>
      <c r="C13" s="518" t="s">
        <v>321</v>
      </c>
      <c r="D13" s="290" t="s">
        <v>322</v>
      </c>
      <c r="E13" s="290" t="s">
        <v>326</v>
      </c>
      <c r="F13" s="290">
        <f t="shared" si="30"/>
        <v>2025</v>
      </c>
      <c r="G13" s="290">
        <f t="shared" si="31"/>
        <v>2025</v>
      </c>
      <c r="H13" s="290">
        <f t="shared" si="31"/>
        <v>2033</v>
      </c>
      <c r="I13" s="291">
        <v>81875</v>
      </c>
      <c r="J13" s="506">
        <f t="shared" si="3"/>
        <v>1</v>
      </c>
      <c r="K13" s="436">
        <f t="shared" si="4"/>
        <v>81875</v>
      </c>
      <c r="L13" s="306">
        <v>8</v>
      </c>
      <c r="M13" s="291">
        <f t="shared" si="32"/>
        <v>8</v>
      </c>
      <c r="N13" s="291"/>
      <c r="O13" s="291">
        <v>3</v>
      </c>
      <c r="P13" s="291">
        <f t="shared" si="11"/>
        <v>0</v>
      </c>
      <c r="Q13" s="291">
        <f t="shared" si="12"/>
        <v>0</v>
      </c>
      <c r="R13" s="291">
        <f t="shared" si="13"/>
        <v>0</v>
      </c>
      <c r="S13" s="291">
        <f t="shared" si="14"/>
        <v>0</v>
      </c>
      <c r="T13" s="436">
        <f t="shared" si="15"/>
        <v>0</v>
      </c>
      <c r="U13" s="436">
        <f t="shared" si="16"/>
        <v>0</v>
      </c>
      <c r="V13" s="436">
        <f t="shared" si="17"/>
        <v>0</v>
      </c>
      <c r="W13" s="291">
        <f t="shared" si="18"/>
        <v>0</v>
      </c>
      <c r="X13" s="426">
        <f t="shared" si="19"/>
        <v>0</v>
      </c>
      <c r="Y13" s="291">
        <f t="shared" si="20"/>
        <v>0</v>
      </c>
      <c r="Z13" s="308">
        <f t="shared" si="21"/>
        <v>0</v>
      </c>
      <c r="AA13" s="312">
        <f t="shared" si="6"/>
        <v>20000</v>
      </c>
      <c r="AB13" s="291">
        <v>25</v>
      </c>
      <c r="AC13" s="291">
        <f t="shared" si="1"/>
        <v>5000</v>
      </c>
      <c r="AD13" s="291">
        <f>'B.0.ConsumiblesMaquinaria'!$J$23</f>
        <v>1.6</v>
      </c>
      <c r="AE13" s="291">
        <f t="shared" si="22"/>
        <v>0</v>
      </c>
      <c r="AF13" s="292">
        <f t="shared" si="7"/>
        <v>28.531999999999996</v>
      </c>
      <c r="AG13" s="291">
        <f t="shared" si="33"/>
        <v>4.8</v>
      </c>
      <c r="AH13" s="291">
        <f t="shared" si="23"/>
        <v>0</v>
      </c>
      <c r="AI13" s="306">
        <f t="shared" si="2"/>
        <v>0</v>
      </c>
      <c r="AJ13" s="306">
        <f t="shared" si="24"/>
        <v>0</v>
      </c>
      <c r="AK13" s="291">
        <v>0.32750000000000001</v>
      </c>
      <c r="AL13" s="291">
        <f t="shared" si="25"/>
        <v>0</v>
      </c>
      <c r="AM13" s="291">
        <f t="shared" si="26"/>
        <v>0</v>
      </c>
      <c r="AN13" s="291">
        <v>248</v>
      </c>
      <c r="AO13" s="291">
        <f t="shared" si="27"/>
        <v>0</v>
      </c>
      <c r="AP13" s="291">
        <f t="shared" si="28"/>
        <v>0</v>
      </c>
      <c r="AQ13" s="308">
        <f t="shared" si="29"/>
        <v>0</v>
      </c>
      <c r="AR13" s="538"/>
    </row>
    <row r="14" spans="1:45" s="12" customFormat="1">
      <c r="A14" s="307">
        <v>0</v>
      </c>
      <c r="B14" s="891" t="s">
        <v>1145</v>
      </c>
      <c r="C14" s="518" t="s">
        <v>321</v>
      </c>
      <c r="D14" s="290" t="s">
        <v>322</v>
      </c>
      <c r="E14" s="290" t="s">
        <v>327</v>
      </c>
      <c r="F14" s="290">
        <f t="shared" si="30"/>
        <v>2025</v>
      </c>
      <c r="G14" s="290">
        <f t="shared" si="31"/>
        <v>2025</v>
      </c>
      <c r="H14" s="290">
        <f t="shared" si="31"/>
        <v>2033</v>
      </c>
      <c r="I14" s="291">
        <v>84156.25</v>
      </c>
      <c r="J14" s="506">
        <f t="shared" si="3"/>
        <v>1</v>
      </c>
      <c r="K14" s="436">
        <f t="shared" si="4"/>
        <v>84156.25</v>
      </c>
      <c r="L14" s="306">
        <v>8</v>
      </c>
      <c r="M14" s="291">
        <f t="shared" si="32"/>
        <v>8</v>
      </c>
      <c r="N14" s="291"/>
      <c r="O14" s="291">
        <v>3</v>
      </c>
      <c r="P14" s="291">
        <f t="shared" si="11"/>
        <v>0</v>
      </c>
      <c r="Q14" s="291">
        <f t="shared" si="12"/>
        <v>0</v>
      </c>
      <c r="R14" s="291">
        <f t="shared" si="13"/>
        <v>0</v>
      </c>
      <c r="S14" s="291">
        <f t="shared" si="14"/>
        <v>0</v>
      </c>
      <c r="T14" s="436">
        <f t="shared" si="15"/>
        <v>0</v>
      </c>
      <c r="U14" s="436">
        <f t="shared" si="16"/>
        <v>0</v>
      </c>
      <c r="V14" s="436">
        <f t="shared" si="17"/>
        <v>0</v>
      </c>
      <c r="W14" s="291">
        <f t="shared" si="18"/>
        <v>0</v>
      </c>
      <c r="X14" s="426">
        <f t="shared" si="19"/>
        <v>0</v>
      </c>
      <c r="Y14" s="291">
        <f t="shared" si="20"/>
        <v>0</v>
      </c>
      <c r="Z14" s="308">
        <f t="shared" si="21"/>
        <v>0</v>
      </c>
      <c r="AA14" s="312">
        <f t="shared" si="6"/>
        <v>20000</v>
      </c>
      <c r="AB14" s="291">
        <v>12</v>
      </c>
      <c r="AC14" s="291">
        <f t="shared" si="1"/>
        <v>2400</v>
      </c>
      <c r="AD14" s="291">
        <f>'B.0.ConsumiblesMaquinaria'!$J$23</f>
        <v>1.6</v>
      </c>
      <c r="AE14" s="291">
        <f t="shared" si="22"/>
        <v>0</v>
      </c>
      <c r="AF14" s="292">
        <f t="shared" si="7"/>
        <v>28.531999999999996</v>
      </c>
      <c r="AG14" s="291">
        <f t="shared" si="33"/>
        <v>4.8</v>
      </c>
      <c r="AH14" s="291">
        <f t="shared" si="23"/>
        <v>0</v>
      </c>
      <c r="AI14" s="306">
        <f t="shared" si="2"/>
        <v>0</v>
      </c>
      <c r="AJ14" s="306">
        <f t="shared" si="24"/>
        <v>0</v>
      </c>
      <c r="AK14" s="291">
        <v>0.33662500000000001</v>
      </c>
      <c r="AL14" s="291">
        <f t="shared" si="25"/>
        <v>0</v>
      </c>
      <c r="AM14" s="291">
        <f t="shared" si="26"/>
        <v>0</v>
      </c>
      <c r="AN14" s="291">
        <v>248</v>
      </c>
      <c r="AO14" s="291">
        <f t="shared" si="27"/>
        <v>0</v>
      </c>
      <c r="AP14" s="291">
        <f t="shared" si="28"/>
        <v>0</v>
      </c>
      <c r="AQ14" s="308">
        <f t="shared" si="29"/>
        <v>0</v>
      </c>
      <c r="AR14" s="538"/>
    </row>
    <row r="15" spans="1:45" s="12" customFormat="1">
      <c r="A15" s="307">
        <v>1</v>
      </c>
      <c r="B15" s="891" t="s">
        <v>1146</v>
      </c>
      <c r="C15" s="514" t="s">
        <v>1044</v>
      </c>
      <c r="D15" s="290" t="s">
        <v>322</v>
      </c>
      <c r="E15" s="290" t="s">
        <v>327</v>
      </c>
      <c r="F15" s="290">
        <v>2025</v>
      </c>
      <c r="G15" s="290">
        <v>2025</v>
      </c>
      <c r="H15" s="290">
        <v>2025</v>
      </c>
      <c r="I15" s="291">
        <v>109200</v>
      </c>
      <c r="J15" s="506">
        <f t="shared" si="3"/>
        <v>1</v>
      </c>
      <c r="K15" s="436">
        <f t="shared" si="4"/>
        <v>109200</v>
      </c>
      <c r="L15" s="306">
        <v>8</v>
      </c>
      <c r="M15" s="291">
        <v>0</v>
      </c>
      <c r="N15" s="291"/>
      <c r="O15" s="291">
        <v>3</v>
      </c>
      <c r="P15" s="291">
        <f t="shared" si="11"/>
        <v>109200</v>
      </c>
      <c r="Q15" s="291">
        <f t="shared" si="12"/>
        <v>13650</v>
      </c>
      <c r="R15" s="291">
        <f t="shared" si="13"/>
        <v>13650</v>
      </c>
      <c r="S15" s="291">
        <f t="shared" si="14"/>
        <v>3519.8636653353351</v>
      </c>
      <c r="T15" s="436">
        <f t="shared" si="15"/>
        <v>3519.8636653353351</v>
      </c>
      <c r="U15" s="436">
        <f t="shared" si="16"/>
        <v>17169.863665335335</v>
      </c>
      <c r="V15" s="436">
        <f t="shared" si="17"/>
        <v>1706.25</v>
      </c>
      <c r="W15" s="291">
        <f t="shared" si="18"/>
        <v>1706.25</v>
      </c>
      <c r="X15" s="426">
        <f t="shared" si="19"/>
        <v>109200</v>
      </c>
      <c r="Y15" s="291">
        <f t="shared" si="20"/>
        <v>18876.113665335335</v>
      </c>
      <c r="Z15" s="308">
        <f t="shared" si="21"/>
        <v>18876.113665335335</v>
      </c>
      <c r="AA15" s="312">
        <v>20000</v>
      </c>
      <c r="AB15" s="291">
        <v>15</v>
      </c>
      <c r="AC15" s="291">
        <f t="shared" si="1"/>
        <v>3000</v>
      </c>
      <c r="AD15" s="291">
        <f>'B.0.ConsumiblesMaquinaria'!$J$27</f>
        <v>0.99</v>
      </c>
      <c r="AE15" s="291">
        <f t="shared" si="22"/>
        <v>11.98</v>
      </c>
      <c r="AF15" s="292">
        <f t="shared" si="7"/>
        <v>28.531999999999996</v>
      </c>
      <c r="AG15" s="291">
        <v>4.8</v>
      </c>
      <c r="AH15" s="291">
        <f t="shared" si="23"/>
        <v>0.55000000000000004</v>
      </c>
      <c r="AI15" s="306">
        <f t="shared" si="2"/>
        <v>12.530000000000001</v>
      </c>
      <c r="AJ15" s="306">
        <f t="shared" si="24"/>
        <v>3107.4400000000005</v>
      </c>
      <c r="AK15" s="291">
        <v>0.22</v>
      </c>
      <c r="AL15" s="291">
        <f t="shared" si="25"/>
        <v>54.56</v>
      </c>
      <c r="AM15" s="291">
        <f t="shared" si="26"/>
        <v>12.750000000000002</v>
      </c>
      <c r="AN15" s="291">
        <v>248</v>
      </c>
      <c r="AO15" s="291">
        <f t="shared" si="27"/>
        <v>3162.0000000000005</v>
      </c>
      <c r="AP15" s="291">
        <f t="shared" si="28"/>
        <v>3162.0000000000005</v>
      </c>
      <c r="AQ15" s="308">
        <f t="shared" si="29"/>
        <v>22038.113665335335</v>
      </c>
      <c r="AR15" s="538"/>
    </row>
    <row r="16" spans="1:45" s="12" customFormat="1">
      <c r="A16" s="307">
        <v>0</v>
      </c>
      <c r="B16" s="891" t="s">
        <v>1151</v>
      </c>
      <c r="C16" s="514" t="s">
        <v>1044</v>
      </c>
      <c r="D16" s="290" t="s">
        <v>322</v>
      </c>
      <c r="E16" s="290" t="s">
        <v>328</v>
      </c>
      <c r="F16" s="290">
        <f t="shared" si="30"/>
        <v>2025</v>
      </c>
      <c r="G16" s="290">
        <f t="shared" si="31"/>
        <v>2025</v>
      </c>
      <c r="H16" s="290">
        <f t="shared" si="31"/>
        <v>2033</v>
      </c>
      <c r="I16" s="291">
        <v>62125</v>
      </c>
      <c r="J16" s="506">
        <f t="shared" si="3"/>
        <v>1</v>
      </c>
      <c r="K16" s="436">
        <f t="shared" si="4"/>
        <v>62125</v>
      </c>
      <c r="L16" s="306">
        <v>8</v>
      </c>
      <c r="M16" s="291">
        <f t="shared" si="32"/>
        <v>8</v>
      </c>
      <c r="N16" s="291"/>
      <c r="O16" s="291">
        <v>3</v>
      </c>
      <c r="P16" s="291">
        <f t="shared" si="11"/>
        <v>0</v>
      </c>
      <c r="Q16" s="291">
        <f t="shared" si="12"/>
        <v>0</v>
      </c>
      <c r="R16" s="291">
        <f t="shared" si="13"/>
        <v>0</v>
      </c>
      <c r="S16" s="291">
        <f t="shared" si="14"/>
        <v>0</v>
      </c>
      <c r="T16" s="436">
        <f t="shared" si="15"/>
        <v>0</v>
      </c>
      <c r="U16" s="436">
        <f t="shared" si="16"/>
        <v>0</v>
      </c>
      <c r="V16" s="436">
        <f t="shared" si="17"/>
        <v>0</v>
      </c>
      <c r="W16" s="291">
        <f t="shared" si="18"/>
        <v>0</v>
      </c>
      <c r="X16" s="426">
        <f t="shared" si="19"/>
        <v>0</v>
      </c>
      <c r="Y16" s="291">
        <f t="shared" si="20"/>
        <v>0</v>
      </c>
      <c r="Z16" s="308">
        <f t="shared" si="21"/>
        <v>0</v>
      </c>
      <c r="AA16" s="312">
        <f t="shared" si="6"/>
        <v>20000</v>
      </c>
      <c r="AB16" s="291">
        <v>20</v>
      </c>
      <c r="AC16" s="291">
        <f t="shared" si="1"/>
        <v>4000</v>
      </c>
      <c r="AD16" s="291">
        <f>'B.0.ConsumiblesMaquinaria'!$J$23</f>
        <v>1.6</v>
      </c>
      <c r="AE16" s="291">
        <f t="shared" si="22"/>
        <v>0</v>
      </c>
      <c r="AF16" s="292">
        <f t="shared" si="7"/>
        <v>28.531999999999996</v>
      </c>
      <c r="AG16" s="291">
        <f t="shared" si="33"/>
        <v>4.8</v>
      </c>
      <c r="AH16" s="291">
        <f t="shared" si="23"/>
        <v>0</v>
      </c>
      <c r="AI16" s="306">
        <f t="shared" si="2"/>
        <v>0</v>
      </c>
      <c r="AJ16" s="306">
        <f t="shared" si="24"/>
        <v>0</v>
      </c>
      <c r="AK16" s="291">
        <v>0.2485</v>
      </c>
      <c r="AL16" s="291">
        <f t="shared" si="25"/>
        <v>0</v>
      </c>
      <c r="AM16" s="291">
        <f t="shared" si="26"/>
        <v>0</v>
      </c>
      <c r="AN16" s="291">
        <v>248</v>
      </c>
      <c r="AO16" s="291">
        <f t="shared" si="27"/>
        <v>0</v>
      </c>
      <c r="AP16" s="291">
        <f t="shared" si="28"/>
        <v>0</v>
      </c>
      <c r="AQ16" s="308">
        <f t="shared" si="29"/>
        <v>0</v>
      </c>
      <c r="AR16" s="538"/>
    </row>
    <row r="17" spans="1:44" s="12" customFormat="1">
      <c r="A17" s="307">
        <v>1</v>
      </c>
      <c r="B17" s="891" t="s">
        <v>1147</v>
      </c>
      <c r="C17" s="518" t="s">
        <v>321</v>
      </c>
      <c r="D17" s="290" t="s">
        <v>322</v>
      </c>
      <c r="E17" s="290" t="s">
        <v>327</v>
      </c>
      <c r="F17" s="290">
        <f t="shared" si="30"/>
        <v>2025</v>
      </c>
      <c r="G17" s="290">
        <f t="shared" si="31"/>
        <v>2025</v>
      </c>
      <c r="H17" s="290">
        <f t="shared" si="31"/>
        <v>2033</v>
      </c>
      <c r="I17" s="291">
        <v>68547</v>
      </c>
      <c r="J17" s="506">
        <f t="shared" si="3"/>
        <v>1</v>
      </c>
      <c r="K17" s="436">
        <f t="shared" si="4"/>
        <v>68547</v>
      </c>
      <c r="L17" s="306">
        <v>8</v>
      </c>
      <c r="M17" s="291">
        <f t="shared" si="32"/>
        <v>8</v>
      </c>
      <c r="N17" s="291"/>
      <c r="O17" s="291">
        <v>3</v>
      </c>
      <c r="P17" s="291">
        <f t="shared" si="11"/>
        <v>68547</v>
      </c>
      <c r="Q17" s="291">
        <f t="shared" si="12"/>
        <v>8568.375</v>
      </c>
      <c r="R17" s="291">
        <f t="shared" si="13"/>
        <v>8568.375</v>
      </c>
      <c r="S17" s="291">
        <f t="shared" si="14"/>
        <v>2209.4880464078869</v>
      </c>
      <c r="T17" s="436">
        <f t="shared" si="15"/>
        <v>2209.4880464078869</v>
      </c>
      <c r="U17" s="436">
        <f t="shared" si="16"/>
        <v>10777.863046407887</v>
      </c>
      <c r="V17" s="436">
        <f t="shared" si="17"/>
        <v>1071.046875</v>
      </c>
      <c r="W17" s="291">
        <f t="shared" si="18"/>
        <v>1071.046875</v>
      </c>
      <c r="X17" s="426">
        <f t="shared" si="19"/>
        <v>0</v>
      </c>
      <c r="Y17" s="291">
        <f t="shared" si="20"/>
        <v>11848.909921407887</v>
      </c>
      <c r="Z17" s="308">
        <f t="shared" si="21"/>
        <v>11848.909921407887</v>
      </c>
      <c r="AA17" s="312">
        <f t="shared" si="6"/>
        <v>20000</v>
      </c>
      <c r="AB17" s="291">
        <v>15</v>
      </c>
      <c r="AC17" s="291">
        <f t="shared" si="1"/>
        <v>3000</v>
      </c>
      <c r="AD17" s="291">
        <f>'B.0.ConsumiblesMaquinaria'!$J$23</f>
        <v>1.6</v>
      </c>
      <c r="AE17" s="291">
        <f t="shared" si="22"/>
        <v>19.350000000000001</v>
      </c>
      <c r="AF17" s="292">
        <f t="shared" si="7"/>
        <v>28.531999999999996</v>
      </c>
      <c r="AG17" s="291">
        <f t="shared" si="33"/>
        <v>4.8</v>
      </c>
      <c r="AH17" s="291">
        <f t="shared" si="23"/>
        <v>0.55000000000000004</v>
      </c>
      <c r="AI17" s="306">
        <f t="shared" si="2"/>
        <v>19.900000000000002</v>
      </c>
      <c r="AJ17" s="306">
        <f t="shared" si="24"/>
        <v>4935.2000000000007</v>
      </c>
      <c r="AK17" s="291">
        <v>0.215</v>
      </c>
      <c r="AL17" s="291">
        <f t="shared" si="25"/>
        <v>53.32</v>
      </c>
      <c r="AM17" s="291">
        <f t="shared" si="26"/>
        <v>20.115000000000002</v>
      </c>
      <c r="AN17" s="291">
        <v>248</v>
      </c>
      <c r="AO17" s="291">
        <f t="shared" si="27"/>
        <v>4988.5200000000004</v>
      </c>
      <c r="AP17" s="291">
        <f t="shared" si="28"/>
        <v>4988.5200000000004</v>
      </c>
      <c r="AQ17" s="308">
        <f t="shared" si="29"/>
        <v>16837.429921407886</v>
      </c>
      <c r="AR17" s="538"/>
    </row>
    <row r="18" spans="1:44" s="12" customFormat="1">
      <c r="A18" s="307">
        <v>0</v>
      </c>
      <c r="B18" s="891" t="s">
        <v>1148</v>
      </c>
      <c r="C18" s="518" t="s">
        <v>321</v>
      </c>
      <c r="D18" s="290" t="s">
        <v>322</v>
      </c>
      <c r="E18" s="290" t="s">
        <v>329</v>
      </c>
      <c r="F18" s="290">
        <f t="shared" si="30"/>
        <v>2025</v>
      </c>
      <c r="G18" s="290">
        <f t="shared" si="31"/>
        <v>2025</v>
      </c>
      <c r="H18" s="290">
        <f t="shared" si="31"/>
        <v>2033</v>
      </c>
      <c r="I18" s="291">
        <v>50075</v>
      </c>
      <c r="J18" s="506">
        <f t="shared" si="3"/>
        <v>1</v>
      </c>
      <c r="K18" s="436">
        <f t="shared" si="4"/>
        <v>50075</v>
      </c>
      <c r="L18" s="306">
        <v>8</v>
      </c>
      <c r="M18" s="291">
        <f t="shared" si="32"/>
        <v>8</v>
      </c>
      <c r="N18" s="291"/>
      <c r="O18" s="291">
        <v>3</v>
      </c>
      <c r="P18" s="291">
        <f t="shared" si="11"/>
        <v>0</v>
      </c>
      <c r="Q18" s="291">
        <f t="shared" si="12"/>
        <v>0</v>
      </c>
      <c r="R18" s="291">
        <f t="shared" si="13"/>
        <v>0</v>
      </c>
      <c r="S18" s="291">
        <f t="shared" si="14"/>
        <v>0</v>
      </c>
      <c r="T18" s="436">
        <f t="shared" si="15"/>
        <v>0</v>
      </c>
      <c r="U18" s="436">
        <f t="shared" si="16"/>
        <v>0</v>
      </c>
      <c r="V18" s="436">
        <f t="shared" si="17"/>
        <v>0</v>
      </c>
      <c r="W18" s="291">
        <f t="shared" si="18"/>
        <v>0</v>
      </c>
      <c r="X18" s="426">
        <f t="shared" si="19"/>
        <v>0</v>
      </c>
      <c r="Y18" s="291">
        <f t="shared" si="20"/>
        <v>0</v>
      </c>
      <c r="Z18" s="308">
        <f t="shared" si="21"/>
        <v>0</v>
      </c>
      <c r="AA18" s="312">
        <f t="shared" si="6"/>
        <v>20000</v>
      </c>
      <c r="AB18" s="291">
        <v>14</v>
      </c>
      <c r="AC18" s="291">
        <f t="shared" si="1"/>
        <v>2800</v>
      </c>
      <c r="AD18" s="291">
        <f>'B.0.ConsumiblesMaquinaria'!$J$23</f>
        <v>1.6</v>
      </c>
      <c r="AE18" s="291">
        <f t="shared" si="22"/>
        <v>0</v>
      </c>
      <c r="AF18" s="292">
        <f t="shared" si="7"/>
        <v>28.531999999999996</v>
      </c>
      <c r="AG18" s="291">
        <f t="shared" si="33"/>
        <v>4.8</v>
      </c>
      <c r="AH18" s="291">
        <f t="shared" si="23"/>
        <v>0</v>
      </c>
      <c r="AI18" s="306">
        <f t="shared" si="2"/>
        <v>0</v>
      </c>
      <c r="AJ18" s="306">
        <f t="shared" si="24"/>
        <v>0</v>
      </c>
      <c r="AK18" s="291">
        <v>0.20030000000000001</v>
      </c>
      <c r="AL18" s="291">
        <f t="shared" si="25"/>
        <v>0</v>
      </c>
      <c r="AM18" s="291">
        <f t="shared" si="26"/>
        <v>0</v>
      </c>
      <c r="AN18" s="291">
        <v>248</v>
      </c>
      <c r="AO18" s="291">
        <f t="shared" si="27"/>
        <v>0</v>
      </c>
      <c r="AP18" s="291">
        <f t="shared" si="28"/>
        <v>0</v>
      </c>
      <c r="AQ18" s="308">
        <f t="shared" si="29"/>
        <v>0</v>
      </c>
      <c r="AR18" s="538"/>
    </row>
    <row r="19" spans="1:44" s="12" customFormat="1">
      <c r="A19" s="307">
        <v>0</v>
      </c>
      <c r="B19" s="290" t="s">
        <v>990</v>
      </c>
      <c r="C19" s="518" t="s">
        <v>321</v>
      </c>
      <c r="D19" s="290" t="s">
        <v>322</v>
      </c>
      <c r="E19" s="290" t="s">
        <v>330</v>
      </c>
      <c r="F19" s="290">
        <f t="shared" si="30"/>
        <v>2025</v>
      </c>
      <c r="G19" s="290">
        <f t="shared" si="31"/>
        <v>2025</v>
      </c>
      <c r="H19" s="290">
        <f t="shared" si="31"/>
        <v>2033</v>
      </c>
      <c r="I19" s="291">
        <v>42500</v>
      </c>
      <c r="J19" s="506">
        <f t="shared" si="3"/>
        <v>1</v>
      </c>
      <c r="K19" s="436">
        <f t="shared" si="4"/>
        <v>42500</v>
      </c>
      <c r="L19" s="306">
        <v>8</v>
      </c>
      <c r="M19" s="291">
        <f t="shared" si="32"/>
        <v>8</v>
      </c>
      <c r="N19" s="291"/>
      <c r="O19" s="291">
        <v>5</v>
      </c>
      <c r="P19" s="291">
        <f t="shared" si="11"/>
        <v>0</v>
      </c>
      <c r="Q19" s="291">
        <f t="shared" si="12"/>
        <v>0</v>
      </c>
      <c r="R19" s="291">
        <f t="shared" si="13"/>
        <v>0</v>
      </c>
      <c r="S19" s="291">
        <f t="shared" si="14"/>
        <v>0</v>
      </c>
      <c r="T19" s="436">
        <f t="shared" si="15"/>
        <v>0</v>
      </c>
      <c r="U19" s="436">
        <f t="shared" si="16"/>
        <v>0</v>
      </c>
      <c r="V19" s="436">
        <f t="shared" si="17"/>
        <v>0</v>
      </c>
      <c r="W19" s="291">
        <f t="shared" si="18"/>
        <v>0</v>
      </c>
      <c r="X19" s="426">
        <f t="shared" si="19"/>
        <v>0</v>
      </c>
      <c r="Y19" s="291">
        <f t="shared" si="20"/>
        <v>0</v>
      </c>
      <c r="Z19" s="308">
        <f t="shared" si="21"/>
        <v>0</v>
      </c>
      <c r="AA19" s="312">
        <f t="shared" si="6"/>
        <v>20000</v>
      </c>
      <c r="AB19" s="291">
        <v>17</v>
      </c>
      <c r="AC19" s="291">
        <f t="shared" si="1"/>
        <v>3400</v>
      </c>
      <c r="AD19" s="291">
        <f>'B.0.ConsumiblesMaquinaria'!$J$23</f>
        <v>1.6</v>
      </c>
      <c r="AE19" s="291">
        <f t="shared" si="22"/>
        <v>0</v>
      </c>
      <c r="AF19" s="292">
        <f t="shared" si="7"/>
        <v>28.531999999999996</v>
      </c>
      <c r="AG19" s="291">
        <f>AG$5</f>
        <v>4.8</v>
      </c>
      <c r="AH19" s="291">
        <f t="shared" si="23"/>
        <v>0</v>
      </c>
      <c r="AI19" s="306">
        <f t="shared" si="2"/>
        <v>0</v>
      </c>
      <c r="AJ19" s="306">
        <f t="shared" si="24"/>
        <v>0</v>
      </c>
      <c r="AK19" s="291">
        <v>0.1075</v>
      </c>
      <c r="AL19" s="291">
        <f t="shared" si="25"/>
        <v>0</v>
      </c>
      <c r="AM19" s="291">
        <f t="shared" si="26"/>
        <v>0</v>
      </c>
      <c r="AN19" s="291">
        <v>248</v>
      </c>
      <c r="AO19" s="291">
        <f t="shared" si="27"/>
        <v>0</v>
      </c>
      <c r="AP19" s="291">
        <f t="shared" si="28"/>
        <v>0</v>
      </c>
      <c r="AQ19" s="308">
        <f t="shared" si="29"/>
        <v>0</v>
      </c>
      <c r="AR19" s="538"/>
    </row>
    <row r="20" spans="1:44" s="12" customFormat="1">
      <c r="A20" s="307">
        <v>0</v>
      </c>
      <c r="B20" s="290" t="s">
        <v>331</v>
      </c>
      <c r="C20" s="518" t="s">
        <v>321</v>
      </c>
      <c r="D20" s="290" t="s">
        <v>322</v>
      </c>
      <c r="E20" s="290" t="s">
        <v>330</v>
      </c>
      <c r="F20" s="290">
        <f t="shared" si="30"/>
        <v>2025</v>
      </c>
      <c r="G20" s="290">
        <f t="shared" si="31"/>
        <v>2025</v>
      </c>
      <c r="H20" s="290">
        <f t="shared" si="31"/>
        <v>2033</v>
      </c>
      <c r="I20" s="291">
        <v>76250</v>
      </c>
      <c r="J20" s="506">
        <f t="shared" si="3"/>
        <v>1</v>
      </c>
      <c r="K20" s="436">
        <f t="shared" si="4"/>
        <v>76250</v>
      </c>
      <c r="L20" s="306">
        <v>8</v>
      </c>
      <c r="M20" s="291">
        <f t="shared" si="32"/>
        <v>8</v>
      </c>
      <c r="N20" s="291"/>
      <c r="O20" s="291">
        <v>6</v>
      </c>
      <c r="P20" s="291">
        <f t="shared" si="11"/>
        <v>0</v>
      </c>
      <c r="Q20" s="291">
        <f t="shared" si="12"/>
        <v>0</v>
      </c>
      <c r="R20" s="291">
        <f t="shared" si="13"/>
        <v>0</v>
      </c>
      <c r="S20" s="291">
        <f t="shared" si="14"/>
        <v>0</v>
      </c>
      <c r="T20" s="436">
        <f t="shared" si="15"/>
        <v>0</v>
      </c>
      <c r="U20" s="436">
        <f t="shared" si="16"/>
        <v>0</v>
      </c>
      <c r="V20" s="436">
        <f t="shared" si="17"/>
        <v>0</v>
      </c>
      <c r="W20" s="291">
        <f t="shared" si="18"/>
        <v>0</v>
      </c>
      <c r="X20" s="426">
        <f t="shared" si="19"/>
        <v>0</v>
      </c>
      <c r="Y20" s="291">
        <f t="shared" si="20"/>
        <v>0</v>
      </c>
      <c r="Z20" s="308">
        <f t="shared" si="21"/>
        <v>0</v>
      </c>
      <c r="AA20" s="312">
        <f t="shared" si="6"/>
        <v>20000</v>
      </c>
      <c r="AB20" s="291">
        <v>17</v>
      </c>
      <c r="AC20" s="291">
        <f t="shared" si="1"/>
        <v>3400</v>
      </c>
      <c r="AD20" s="291">
        <f>'B.0.ConsumiblesMaquinaria'!$J$23</f>
        <v>1.6</v>
      </c>
      <c r="AE20" s="291">
        <f t="shared" si="22"/>
        <v>0</v>
      </c>
      <c r="AF20" s="292">
        <f t="shared" si="7"/>
        <v>28.531999999999996</v>
      </c>
      <c r="AG20" s="291">
        <f>AG$5</f>
        <v>4.8</v>
      </c>
      <c r="AH20" s="291">
        <f t="shared" si="23"/>
        <v>0</v>
      </c>
      <c r="AI20" s="306">
        <f t="shared" si="2"/>
        <v>0</v>
      </c>
      <c r="AJ20" s="306">
        <f t="shared" si="24"/>
        <v>0</v>
      </c>
      <c r="AK20" s="291">
        <v>0.30499999999999999</v>
      </c>
      <c r="AL20" s="291">
        <f t="shared" si="25"/>
        <v>0</v>
      </c>
      <c r="AM20" s="291">
        <f t="shared" si="26"/>
        <v>0</v>
      </c>
      <c r="AN20" s="291">
        <v>248</v>
      </c>
      <c r="AO20" s="291">
        <f t="shared" si="27"/>
        <v>0</v>
      </c>
      <c r="AP20" s="291">
        <f t="shared" si="28"/>
        <v>0</v>
      </c>
      <c r="AQ20" s="308">
        <f t="shared" si="29"/>
        <v>0</v>
      </c>
      <c r="AR20" s="538"/>
    </row>
    <row r="21" spans="1:44" s="12" customFormat="1">
      <c r="A21" s="307">
        <v>0</v>
      </c>
      <c r="B21" s="891" t="s">
        <v>1150</v>
      </c>
      <c r="C21" s="518" t="s">
        <v>321</v>
      </c>
      <c r="D21" s="290" t="s">
        <v>332</v>
      </c>
      <c r="E21" s="290" t="s">
        <v>333</v>
      </c>
      <c r="F21" s="290">
        <f t="shared" si="30"/>
        <v>2025</v>
      </c>
      <c r="G21" s="290">
        <f t="shared" si="31"/>
        <v>2025</v>
      </c>
      <c r="H21" s="290">
        <f t="shared" si="31"/>
        <v>2033</v>
      </c>
      <c r="I21" s="291">
        <v>54375</v>
      </c>
      <c r="J21" s="506">
        <f t="shared" si="3"/>
        <v>1</v>
      </c>
      <c r="K21" s="436">
        <f t="shared" si="4"/>
        <v>54375</v>
      </c>
      <c r="L21" s="306">
        <v>8</v>
      </c>
      <c r="M21" s="291">
        <f t="shared" si="32"/>
        <v>8</v>
      </c>
      <c r="N21" s="291"/>
      <c r="O21" s="291">
        <v>3</v>
      </c>
      <c r="P21" s="291">
        <f t="shared" si="11"/>
        <v>0</v>
      </c>
      <c r="Q21" s="291">
        <f t="shared" si="12"/>
        <v>0</v>
      </c>
      <c r="R21" s="291">
        <f t="shared" si="13"/>
        <v>0</v>
      </c>
      <c r="S21" s="291">
        <f t="shared" si="14"/>
        <v>0</v>
      </c>
      <c r="T21" s="436">
        <f t="shared" si="15"/>
        <v>0</v>
      </c>
      <c r="U21" s="436">
        <f t="shared" si="16"/>
        <v>0</v>
      </c>
      <c r="V21" s="436">
        <f t="shared" si="17"/>
        <v>0</v>
      </c>
      <c r="W21" s="291">
        <f t="shared" si="18"/>
        <v>0</v>
      </c>
      <c r="X21" s="426">
        <f t="shared" si="19"/>
        <v>0</v>
      </c>
      <c r="Y21" s="291">
        <f t="shared" si="20"/>
        <v>0</v>
      </c>
      <c r="Z21" s="308">
        <f t="shared" si="21"/>
        <v>0</v>
      </c>
      <c r="AA21" s="312">
        <f t="shared" si="6"/>
        <v>20000</v>
      </c>
      <c r="AB21" s="291">
        <v>15</v>
      </c>
      <c r="AC21" s="291">
        <f t="shared" si="1"/>
        <v>3000</v>
      </c>
      <c r="AD21" s="291">
        <f>'B.0.ConsumiblesMaquinaria'!$J$23</f>
        <v>1.6</v>
      </c>
      <c r="AE21" s="291">
        <f t="shared" si="22"/>
        <v>0</v>
      </c>
      <c r="AF21" s="292">
        <f t="shared" si="7"/>
        <v>28.531999999999996</v>
      </c>
      <c r="AG21" s="291">
        <f>AG$5</f>
        <v>4.8</v>
      </c>
      <c r="AH21" s="291">
        <f t="shared" si="23"/>
        <v>0</v>
      </c>
      <c r="AI21" s="306">
        <f t="shared" si="2"/>
        <v>0</v>
      </c>
      <c r="AJ21" s="306">
        <f t="shared" si="24"/>
        <v>0</v>
      </c>
      <c r="AK21" s="291">
        <v>0.2175</v>
      </c>
      <c r="AL21" s="291">
        <f t="shared" si="25"/>
        <v>0</v>
      </c>
      <c r="AM21" s="291">
        <f t="shared" si="26"/>
        <v>0</v>
      </c>
      <c r="AN21" s="291">
        <v>248</v>
      </c>
      <c r="AO21" s="291">
        <f t="shared" si="27"/>
        <v>0</v>
      </c>
      <c r="AP21" s="291">
        <f t="shared" si="28"/>
        <v>0</v>
      </c>
      <c r="AQ21" s="308">
        <f t="shared" si="29"/>
        <v>0</v>
      </c>
      <c r="AR21" s="538"/>
    </row>
    <row r="22" spans="1:44" s="12" customFormat="1">
      <c r="A22" s="307">
        <v>0</v>
      </c>
      <c r="B22" s="290" t="s">
        <v>334</v>
      </c>
      <c r="C22" s="518" t="s">
        <v>321</v>
      </c>
      <c r="D22" s="290" t="s">
        <v>335</v>
      </c>
      <c r="E22" s="290" t="s">
        <v>336</v>
      </c>
      <c r="F22" s="290">
        <f t="shared" si="30"/>
        <v>2025</v>
      </c>
      <c r="G22" s="290">
        <f t="shared" si="31"/>
        <v>2025</v>
      </c>
      <c r="H22" s="290">
        <f t="shared" si="31"/>
        <v>2033</v>
      </c>
      <c r="I22" s="291">
        <v>102500</v>
      </c>
      <c r="J22" s="506">
        <f t="shared" si="3"/>
        <v>1</v>
      </c>
      <c r="K22" s="436">
        <f t="shared" si="4"/>
        <v>102500</v>
      </c>
      <c r="L22" s="306">
        <v>8</v>
      </c>
      <c r="M22" s="291">
        <f t="shared" si="32"/>
        <v>8</v>
      </c>
      <c r="N22" s="291"/>
      <c r="O22" s="291">
        <v>3</v>
      </c>
      <c r="P22" s="291">
        <f t="shared" si="11"/>
        <v>0</v>
      </c>
      <c r="Q22" s="291">
        <f t="shared" si="12"/>
        <v>0</v>
      </c>
      <c r="R22" s="291">
        <f t="shared" si="13"/>
        <v>0</v>
      </c>
      <c r="S22" s="291">
        <f t="shared" si="14"/>
        <v>0</v>
      </c>
      <c r="T22" s="436">
        <f t="shared" si="15"/>
        <v>0</v>
      </c>
      <c r="U22" s="436">
        <f t="shared" si="16"/>
        <v>0</v>
      </c>
      <c r="V22" s="436">
        <f t="shared" si="17"/>
        <v>0</v>
      </c>
      <c r="W22" s="291">
        <f t="shared" si="18"/>
        <v>0</v>
      </c>
      <c r="X22" s="426">
        <f t="shared" si="19"/>
        <v>0</v>
      </c>
      <c r="Y22" s="291">
        <f t="shared" si="20"/>
        <v>0</v>
      </c>
      <c r="Z22" s="308">
        <f t="shared" si="21"/>
        <v>0</v>
      </c>
      <c r="AA22" s="312">
        <f t="shared" si="6"/>
        <v>20000</v>
      </c>
      <c r="AB22" s="291">
        <v>12</v>
      </c>
      <c r="AC22" s="291">
        <f t="shared" si="1"/>
        <v>2400</v>
      </c>
      <c r="AD22" s="291">
        <f>'B.0.ConsumiblesMaquinaria'!$J$23</f>
        <v>1.6</v>
      </c>
      <c r="AE22" s="291">
        <f t="shared" si="22"/>
        <v>0</v>
      </c>
      <c r="AF22" s="292">
        <f t="shared" si="7"/>
        <v>28.531999999999996</v>
      </c>
      <c r="AG22" s="291">
        <f>AG$5</f>
        <v>4.8</v>
      </c>
      <c r="AH22" s="291">
        <f t="shared" si="23"/>
        <v>0</v>
      </c>
      <c r="AI22" s="306">
        <f t="shared" si="2"/>
        <v>0</v>
      </c>
      <c r="AJ22" s="306">
        <f t="shared" si="24"/>
        <v>0</v>
      </c>
      <c r="AK22" s="291">
        <v>0.41</v>
      </c>
      <c r="AL22" s="291">
        <f t="shared" si="25"/>
        <v>0</v>
      </c>
      <c r="AM22" s="291">
        <f t="shared" si="26"/>
        <v>0</v>
      </c>
      <c r="AN22" s="291">
        <v>248</v>
      </c>
      <c r="AO22" s="291">
        <f t="shared" si="27"/>
        <v>0</v>
      </c>
      <c r="AP22" s="291">
        <f t="shared" si="28"/>
        <v>0</v>
      </c>
      <c r="AQ22" s="308">
        <f t="shared" si="29"/>
        <v>0</v>
      </c>
      <c r="AR22" s="538"/>
    </row>
    <row r="23" spans="1:44" s="12" customFormat="1">
      <c r="A23" s="307">
        <v>2</v>
      </c>
      <c r="B23" s="290" t="s">
        <v>1045</v>
      </c>
      <c r="C23" s="514" t="s">
        <v>1044</v>
      </c>
      <c r="D23" s="290" t="s">
        <v>338</v>
      </c>
      <c r="E23" s="290" t="s">
        <v>327</v>
      </c>
      <c r="F23" s="290">
        <v>2025</v>
      </c>
      <c r="G23" s="290">
        <v>2025</v>
      </c>
      <c r="H23" s="290">
        <f t="shared" si="31"/>
        <v>2033</v>
      </c>
      <c r="I23" s="291">
        <v>139300</v>
      </c>
      <c r="J23" s="506">
        <f t="shared" si="3"/>
        <v>1</v>
      </c>
      <c r="K23" s="436">
        <f t="shared" si="4"/>
        <v>139300</v>
      </c>
      <c r="L23" s="306">
        <v>8</v>
      </c>
      <c r="M23" s="291">
        <v>0</v>
      </c>
      <c r="N23" s="291"/>
      <c r="O23" s="291">
        <v>3</v>
      </c>
      <c r="P23" s="291">
        <f t="shared" si="11"/>
        <v>278600</v>
      </c>
      <c r="Q23" s="291">
        <f t="shared" si="12"/>
        <v>17412.5</v>
      </c>
      <c r="R23" s="291">
        <f t="shared" si="13"/>
        <v>34825</v>
      </c>
      <c r="S23" s="291">
        <f t="shared" si="14"/>
        <v>4490.0824961649523</v>
      </c>
      <c r="T23" s="436">
        <f t="shared" si="15"/>
        <v>8980.1649923299046</v>
      </c>
      <c r="U23" s="436">
        <f t="shared" si="16"/>
        <v>43805.164992329905</v>
      </c>
      <c r="V23" s="436">
        <f t="shared" si="17"/>
        <v>2176.5625</v>
      </c>
      <c r="W23" s="291">
        <f t="shared" si="18"/>
        <v>4353.125</v>
      </c>
      <c r="X23" s="426">
        <f t="shared" si="19"/>
        <v>139300</v>
      </c>
      <c r="Y23" s="291">
        <f t="shared" si="20"/>
        <v>24079.144996164952</v>
      </c>
      <c r="Z23" s="308">
        <f t="shared" si="21"/>
        <v>48158.289992329905</v>
      </c>
      <c r="AA23" s="312">
        <v>20000</v>
      </c>
      <c r="AB23" s="291">
        <v>17</v>
      </c>
      <c r="AC23" s="291">
        <f t="shared" si="1"/>
        <v>3400</v>
      </c>
      <c r="AD23" s="291">
        <f>'B.0.ConsumiblesMaquinaria'!$J$27</f>
        <v>0.99</v>
      </c>
      <c r="AE23" s="291">
        <f t="shared" si="22"/>
        <v>13.57</v>
      </c>
      <c r="AF23" s="292">
        <f t="shared" si="7"/>
        <v>28.531999999999996</v>
      </c>
      <c r="AG23" s="291">
        <v>4.8</v>
      </c>
      <c r="AH23" s="291">
        <f t="shared" si="23"/>
        <v>0.55000000000000004</v>
      </c>
      <c r="AI23" s="306">
        <f t="shared" si="2"/>
        <v>14.120000000000001</v>
      </c>
      <c r="AJ23" s="306">
        <f t="shared" si="24"/>
        <v>7003.52</v>
      </c>
      <c r="AK23" s="291">
        <v>0.26</v>
      </c>
      <c r="AL23" s="291">
        <f>(AK23*AN23)*A23</f>
        <v>128.96</v>
      </c>
      <c r="AM23" s="291">
        <f t="shared" si="26"/>
        <v>14.38</v>
      </c>
      <c r="AN23" s="291">
        <v>248</v>
      </c>
      <c r="AO23" s="291">
        <f t="shared" si="27"/>
        <v>3566.2400000000002</v>
      </c>
      <c r="AP23" s="291">
        <f t="shared" si="28"/>
        <v>7132.4800000000005</v>
      </c>
      <c r="AQ23" s="308">
        <f t="shared" si="29"/>
        <v>55290.769992329908</v>
      </c>
      <c r="AR23" s="538"/>
    </row>
    <row r="24" spans="1:44" s="12" customFormat="1">
      <c r="A24" s="307">
        <v>0</v>
      </c>
      <c r="B24" s="290" t="s">
        <v>337</v>
      </c>
      <c r="C24" s="518" t="s">
        <v>321</v>
      </c>
      <c r="D24" s="290" t="s">
        <v>338</v>
      </c>
      <c r="E24" s="290" t="s">
        <v>327</v>
      </c>
      <c r="F24" s="290">
        <f t="shared" si="30"/>
        <v>2025</v>
      </c>
      <c r="G24" s="290">
        <f t="shared" si="31"/>
        <v>2025</v>
      </c>
      <c r="H24" s="290">
        <f t="shared" si="31"/>
        <v>2033</v>
      </c>
      <c r="I24" s="291">
        <v>65000</v>
      </c>
      <c r="J24" s="506">
        <f t="shared" si="3"/>
        <v>1</v>
      </c>
      <c r="K24" s="436">
        <f t="shared" si="4"/>
        <v>65000</v>
      </c>
      <c r="L24" s="306">
        <v>8</v>
      </c>
      <c r="M24" s="291">
        <f t="shared" si="32"/>
        <v>8</v>
      </c>
      <c r="N24" s="291"/>
      <c r="O24" s="291">
        <v>3</v>
      </c>
      <c r="P24" s="291">
        <f t="shared" si="11"/>
        <v>0</v>
      </c>
      <c r="Q24" s="291">
        <f t="shared" si="12"/>
        <v>0</v>
      </c>
      <c r="R24" s="291">
        <f t="shared" si="13"/>
        <v>0</v>
      </c>
      <c r="S24" s="291">
        <f t="shared" si="14"/>
        <v>0</v>
      </c>
      <c r="T24" s="436">
        <f t="shared" si="15"/>
        <v>0</v>
      </c>
      <c r="U24" s="436">
        <f t="shared" si="16"/>
        <v>0</v>
      </c>
      <c r="V24" s="436">
        <f t="shared" si="17"/>
        <v>0</v>
      </c>
      <c r="W24" s="291">
        <f t="shared" si="18"/>
        <v>0</v>
      </c>
      <c r="X24" s="426">
        <f t="shared" si="19"/>
        <v>0</v>
      </c>
      <c r="Y24" s="291">
        <f t="shared" si="20"/>
        <v>0</v>
      </c>
      <c r="Z24" s="308">
        <f t="shared" si="21"/>
        <v>0</v>
      </c>
      <c r="AA24" s="312">
        <f t="shared" si="6"/>
        <v>20000</v>
      </c>
      <c r="AB24" s="291">
        <v>17</v>
      </c>
      <c r="AC24" s="291">
        <f t="shared" si="1"/>
        <v>3400</v>
      </c>
      <c r="AD24" s="291">
        <f>'B.0.ConsumiblesMaquinaria'!$J$23</f>
        <v>1.6</v>
      </c>
      <c r="AE24" s="291">
        <f t="shared" si="22"/>
        <v>0</v>
      </c>
      <c r="AF24" s="292">
        <f t="shared" si="7"/>
        <v>28.531999999999996</v>
      </c>
      <c r="AG24" s="291">
        <f>AG$5</f>
        <v>4.8</v>
      </c>
      <c r="AH24" s="291">
        <f t="shared" si="23"/>
        <v>0</v>
      </c>
      <c r="AI24" s="306">
        <f t="shared" si="2"/>
        <v>0</v>
      </c>
      <c r="AJ24" s="306">
        <f t="shared" si="24"/>
        <v>0</v>
      </c>
      <c r="AK24" s="291">
        <v>0.26</v>
      </c>
      <c r="AL24" s="291">
        <f t="shared" ref="AL24" si="34">(AK24*AN24)*A24</f>
        <v>0</v>
      </c>
      <c r="AM24" s="291">
        <f t="shared" si="26"/>
        <v>0</v>
      </c>
      <c r="AN24" s="291">
        <v>248</v>
      </c>
      <c r="AO24" s="291">
        <f t="shared" si="27"/>
        <v>0</v>
      </c>
      <c r="AP24" s="291">
        <f t="shared" si="28"/>
        <v>0</v>
      </c>
      <c r="AQ24" s="308">
        <f t="shared" si="29"/>
        <v>0</v>
      </c>
      <c r="AR24" s="538"/>
    </row>
    <row r="25" spans="1:44">
      <c r="A25" s="830" t="s">
        <v>339</v>
      </c>
      <c r="B25" s="831" t="s">
        <v>339</v>
      </c>
      <c r="C25" s="831"/>
      <c r="D25" s="93"/>
      <c r="E25" s="93"/>
      <c r="F25" s="93"/>
      <c r="G25" s="93"/>
      <c r="H25" s="93"/>
      <c r="I25" s="93"/>
      <c r="J25" s="93"/>
      <c r="K25" s="93"/>
      <c r="L25" s="93"/>
      <c r="M25" s="93"/>
      <c r="N25" s="93"/>
      <c r="O25" s="93"/>
      <c r="P25" s="93"/>
      <c r="Q25" s="93"/>
      <c r="R25" s="93"/>
      <c r="S25" s="93"/>
      <c r="T25" s="93"/>
      <c r="U25" s="93"/>
      <c r="V25" s="501">
        <v>0.125</v>
      </c>
      <c r="W25" s="93"/>
      <c r="X25" s="428"/>
      <c r="Y25" s="93"/>
      <c r="Z25" s="93"/>
      <c r="AA25" s="93"/>
      <c r="AB25" s="93"/>
      <c r="AC25" s="93"/>
      <c r="AD25" s="93"/>
      <c r="AE25" s="93"/>
      <c r="AF25" s="93"/>
      <c r="AG25" s="93"/>
      <c r="AH25" s="93"/>
      <c r="AI25" s="93"/>
      <c r="AJ25" s="93"/>
      <c r="AK25" s="93"/>
      <c r="AL25" s="93"/>
      <c r="AM25" s="93"/>
      <c r="AN25" s="93"/>
      <c r="AO25" s="93"/>
      <c r="AP25" s="93"/>
      <c r="AQ25" s="342"/>
      <c r="AR25" s="538"/>
    </row>
    <row r="26" spans="1:44">
      <c r="A26" s="307">
        <v>4</v>
      </c>
      <c r="B26" s="293" t="s">
        <v>340</v>
      </c>
      <c r="C26" s="522" t="s">
        <v>343</v>
      </c>
      <c r="D26" s="293" t="s">
        <v>322</v>
      </c>
      <c r="E26" s="293" t="s">
        <v>342</v>
      </c>
      <c r="F26" s="290">
        <f t="shared" ref="F26:F34" si="35">G26</f>
        <v>2025</v>
      </c>
      <c r="G26" s="293">
        <f t="shared" ref="G26:H38" si="36">G$5</f>
        <v>2025</v>
      </c>
      <c r="H26" s="293">
        <f t="shared" si="36"/>
        <v>2033</v>
      </c>
      <c r="I26" s="294">
        <v>75000</v>
      </c>
      <c r="J26" s="506">
        <f t="shared" ref="J26:J34" si="37">$J$6</f>
        <v>1</v>
      </c>
      <c r="K26" s="505">
        <f t="shared" ref="K26:K34" si="38">I26*J26</f>
        <v>75000</v>
      </c>
      <c r="L26" s="306">
        <v>8</v>
      </c>
      <c r="M26" s="294">
        <f>H26-G26</f>
        <v>8</v>
      </c>
      <c r="N26" s="503">
        <v>700</v>
      </c>
      <c r="O26" s="294">
        <v>3</v>
      </c>
      <c r="P26" s="291">
        <f t="shared" ref="P26:P34" si="39">K26*A26</f>
        <v>300000</v>
      </c>
      <c r="Q26" s="291">
        <f t="shared" ref="Q26:Q34" si="40">IF(A26&gt;0,K26/L26,0)</f>
        <v>9375</v>
      </c>
      <c r="R26" s="291">
        <f t="shared" ref="R26:R34" si="41">Q26*A26</f>
        <v>37500</v>
      </c>
      <c r="S26" s="291">
        <f t="shared" ref="S26:S34" si="42">IF(A26=0,0,PMT($S$6,L26,-K26)-Q26)</f>
        <v>2417.4887811369081</v>
      </c>
      <c r="T26" s="436">
        <f t="shared" ref="T26:T34" si="43">S26*A26</f>
        <v>9669.9551245476323</v>
      </c>
      <c r="U26" s="306">
        <f t="shared" ref="U26:U34" si="44">(S26+Q26)*A26</f>
        <v>47169.955124547632</v>
      </c>
      <c r="V26" s="437">
        <f t="shared" ref="V26:V34" si="45">Q26*V$6</f>
        <v>1171.875</v>
      </c>
      <c r="W26" s="291">
        <f t="shared" ref="W26:W34" si="46">V26*A26</f>
        <v>4687.5</v>
      </c>
      <c r="X26" s="426">
        <f t="shared" ref="X26:X34" si="47">Q26*(L26-(M26+(G26-F26)))</f>
        <v>0</v>
      </c>
      <c r="Y26" s="291">
        <f t="shared" ref="Y26:Y34" si="48">IF(A26&gt;0,(Q26+S26+V26),0)</f>
        <v>12964.363781136908</v>
      </c>
      <c r="Z26" s="308">
        <f t="shared" ref="Z26:Z34" si="49">(IF(A26&gt;0,(Q26+S26+V26),0)*A26)</f>
        <v>51857.455124547632</v>
      </c>
      <c r="AA26" s="313">
        <v>20000</v>
      </c>
      <c r="AB26" s="294">
        <v>3</v>
      </c>
      <c r="AC26" s="294">
        <f t="shared" ref="AC26:AC34" si="50">ROUND(AA26*AB26,2)/100</f>
        <v>600</v>
      </c>
      <c r="AD26" s="294">
        <f>'B.0.ConsumiblesMaquinaria'!$J$22</f>
        <v>1.7</v>
      </c>
      <c r="AE26" s="294">
        <f t="shared" ref="AE26:AE34" si="51">IF(A26&gt;0,+ROUND(AD26*AC26/248,2),0)</f>
        <v>4.1100000000000003</v>
      </c>
      <c r="AF26" s="295">
        <f>0.002038*AA26</f>
        <v>40.76</v>
      </c>
      <c r="AG26" s="294">
        <f t="shared" ref="AG26:AG34" si="52">AG$5</f>
        <v>4.8</v>
      </c>
      <c r="AH26" s="294">
        <f t="shared" ref="AH26:AH34" si="53">IF(A26&gt;0,+ROUND(AG26*AF26/248,2),0)</f>
        <v>0.79</v>
      </c>
      <c r="AI26" s="306">
        <f t="shared" ref="AI26:AI34" si="54">AH26+AE26</f>
        <v>4.9000000000000004</v>
      </c>
      <c r="AJ26" s="306">
        <f t="shared" ref="AJ26:AJ34" si="55">(AI26*AN26)*A26</f>
        <v>4860.8</v>
      </c>
      <c r="AK26" s="294">
        <v>0.3</v>
      </c>
      <c r="AL26" s="294">
        <f t="shared" ref="AL26:AL34" si="56">(AK26*AN26)*A26</f>
        <v>297.59999999999997</v>
      </c>
      <c r="AM26" s="294">
        <f t="shared" ref="AM26:AM34" si="57">IF(A26&gt;0,+AH26+AE26+AK26,0)</f>
        <v>5.2</v>
      </c>
      <c r="AN26" s="294">
        <v>248</v>
      </c>
      <c r="AO26" s="294">
        <f t="shared" ref="AO26" si="58">AM26*AN26</f>
        <v>1289.6000000000001</v>
      </c>
      <c r="AP26" s="294">
        <f>AO26*A26</f>
        <v>5158.4000000000005</v>
      </c>
      <c r="AQ26" s="314">
        <f t="shared" ref="AQ26" si="59">Z26+AP26</f>
        <v>57015.855124547634</v>
      </c>
      <c r="AR26" s="538"/>
    </row>
    <row r="27" spans="1:44" s="12" customFormat="1">
      <c r="A27" s="307">
        <v>0</v>
      </c>
      <c r="B27" s="290" t="s">
        <v>1046</v>
      </c>
      <c r="C27" s="515" t="s">
        <v>1047</v>
      </c>
      <c r="D27" s="290" t="s">
        <v>322</v>
      </c>
      <c r="E27" s="290" t="s">
        <v>1048</v>
      </c>
      <c r="F27" s="290">
        <v>2025</v>
      </c>
      <c r="G27" s="290">
        <v>2025</v>
      </c>
      <c r="H27" s="290">
        <v>2025</v>
      </c>
      <c r="I27" s="291">
        <v>25100</v>
      </c>
      <c r="J27" s="506">
        <f t="shared" si="37"/>
        <v>1</v>
      </c>
      <c r="K27" s="436">
        <f t="shared" si="38"/>
        <v>25100</v>
      </c>
      <c r="L27" s="306">
        <v>8</v>
      </c>
      <c r="M27" s="291">
        <v>0</v>
      </c>
      <c r="N27" s="503">
        <v>900</v>
      </c>
      <c r="O27" s="291">
        <v>4</v>
      </c>
      <c r="P27" s="291">
        <f t="shared" si="39"/>
        <v>0</v>
      </c>
      <c r="Q27" s="291">
        <f t="shared" si="40"/>
        <v>0</v>
      </c>
      <c r="R27" s="291">
        <f t="shared" si="41"/>
        <v>0</v>
      </c>
      <c r="S27" s="291">
        <f t="shared" si="42"/>
        <v>0</v>
      </c>
      <c r="T27" s="436">
        <f t="shared" si="43"/>
        <v>0</v>
      </c>
      <c r="U27" s="436">
        <f t="shared" si="44"/>
        <v>0</v>
      </c>
      <c r="V27" s="436">
        <f t="shared" si="45"/>
        <v>0</v>
      </c>
      <c r="W27" s="291">
        <f t="shared" si="46"/>
        <v>0</v>
      </c>
      <c r="X27" s="426">
        <f t="shared" si="47"/>
        <v>0</v>
      </c>
      <c r="Y27" s="291">
        <f t="shared" si="48"/>
        <v>0</v>
      </c>
      <c r="Z27" s="308">
        <f t="shared" si="49"/>
        <v>0</v>
      </c>
      <c r="AA27" s="312">
        <v>10000</v>
      </c>
      <c r="AB27" s="291">
        <v>30</v>
      </c>
      <c r="AC27" s="291">
        <f t="shared" si="50"/>
        <v>3000</v>
      </c>
      <c r="AD27" s="291">
        <f>'B.0.ConsumiblesMaquinaria'!$J$26</f>
        <v>0.4</v>
      </c>
      <c r="AE27" s="291">
        <f t="shared" si="51"/>
        <v>0</v>
      </c>
      <c r="AF27" s="292">
        <v>0</v>
      </c>
      <c r="AG27" s="291">
        <v>0</v>
      </c>
      <c r="AH27" s="291">
        <f t="shared" si="53"/>
        <v>0</v>
      </c>
      <c r="AI27" s="306">
        <f t="shared" si="54"/>
        <v>0</v>
      </c>
      <c r="AJ27" s="306">
        <f t="shared" si="55"/>
        <v>0</v>
      </c>
      <c r="AK27" s="291">
        <v>0.15</v>
      </c>
      <c r="AL27" s="291">
        <f t="shared" si="56"/>
        <v>0</v>
      </c>
      <c r="AM27" s="291">
        <f t="shared" si="57"/>
        <v>0</v>
      </c>
      <c r="AN27" s="291">
        <v>248</v>
      </c>
      <c r="AO27" s="291">
        <f t="shared" ref="AO27:AO34" si="60">AM27*AN27</f>
        <v>0</v>
      </c>
      <c r="AP27" s="291">
        <f t="shared" ref="AP27:AP34" si="61">AO27*A27</f>
        <v>0</v>
      </c>
      <c r="AQ27" s="308">
        <f t="shared" ref="AQ27:AQ34" si="62">Z27+AP27</f>
        <v>0</v>
      </c>
      <c r="AR27" s="538"/>
    </row>
    <row r="28" spans="1:44" s="12" customFormat="1">
      <c r="A28" s="307">
        <v>0</v>
      </c>
      <c r="B28" s="290" t="s">
        <v>1049</v>
      </c>
      <c r="C28" s="515" t="s">
        <v>1050</v>
      </c>
      <c r="D28" s="290" t="s">
        <v>1051</v>
      </c>
      <c r="E28" s="290" t="s">
        <v>381</v>
      </c>
      <c r="F28" s="290">
        <v>2025</v>
      </c>
      <c r="G28" s="290">
        <v>2025</v>
      </c>
      <c r="H28" s="290">
        <v>2025</v>
      </c>
      <c r="I28" s="291">
        <v>65036</v>
      </c>
      <c r="J28" s="506">
        <f t="shared" si="37"/>
        <v>1</v>
      </c>
      <c r="K28" s="436">
        <f t="shared" si="38"/>
        <v>65036</v>
      </c>
      <c r="L28" s="306">
        <v>8</v>
      </c>
      <c r="M28" s="291">
        <v>0</v>
      </c>
      <c r="N28" s="503">
        <v>1200</v>
      </c>
      <c r="O28" s="291">
        <v>3</v>
      </c>
      <c r="P28" s="291">
        <f t="shared" si="39"/>
        <v>0</v>
      </c>
      <c r="Q28" s="291">
        <f t="shared" si="40"/>
        <v>0</v>
      </c>
      <c r="R28" s="291">
        <f t="shared" si="41"/>
        <v>0</v>
      </c>
      <c r="S28" s="291">
        <f t="shared" si="42"/>
        <v>0</v>
      </c>
      <c r="T28" s="436">
        <f t="shared" si="43"/>
        <v>0</v>
      </c>
      <c r="U28" s="436">
        <f t="shared" si="44"/>
        <v>0</v>
      </c>
      <c r="V28" s="436">
        <f t="shared" si="45"/>
        <v>0</v>
      </c>
      <c r="W28" s="291">
        <f t="shared" si="46"/>
        <v>0</v>
      </c>
      <c r="X28" s="426">
        <f t="shared" si="47"/>
        <v>0</v>
      </c>
      <c r="Y28" s="291">
        <f t="shared" si="48"/>
        <v>0</v>
      </c>
      <c r="Z28" s="308">
        <f t="shared" si="49"/>
        <v>0</v>
      </c>
      <c r="AA28" s="312">
        <v>20000</v>
      </c>
      <c r="AB28" s="291">
        <v>30</v>
      </c>
      <c r="AC28" s="291">
        <f t="shared" si="50"/>
        <v>6000</v>
      </c>
      <c r="AD28" s="291">
        <f>'B.0.ConsumiblesMaquinaria'!$J$26</f>
        <v>0.4</v>
      </c>
      <c r="AE28" s="291">
        <f t="shared" si="51"/>
        <v>0</v>
      </c>
      <c r="AF28" s="292">
        <v>0</v>
      </c>
      <c r="AG28" s="291">
        <v>0</v>
      </c>
      <c r="AH28" s="291">
        <f t="shared" si="53"/>
        <v>0</v>
      </c>
      <c r="AI28" s="306">
        <f t="shared" si="54"/>
        <v>0</v>
      </c>
      <c r="AJ28" s="306">
        <f t="shared" si="55"/>
        <v>0</v>
      </c>
      <c r="AK28" s="291">
        <v>0.3</v>
      </c>
      <c r="AL28" s="291">
        <f t="shared" si="56"/>
        <v>0</v>
      </c>
      <c r="AM28" s="291">
        <f t="shared" si="57"/>
        <v>0</v>
      </c>
      <c r="AN28" s="291">
        <v>248</v>
      </c>
      <c r="AO28" s="291">
        <f t="shared" si="60"/>
        <v>0</v>
      </c>
      <c r="AP28" s="291">
        <f t="shared" si="61"/>
        <v>0</v>
      </c>
      <c r="AQ28" s="308">
        <f t="shared" si="62"/>
        <v>0</v>
      </c>
      <c r="AR28" s="538"/>
    </row>
    <row r="29" spans="1:44" s="12" customFormat="1">
      <c r="A29" s="307">
        <v>0</v>
      </c>
      <c r="B29" s="290" t="s">
        <v>1052</v>
      </c>
      <c r="C29" s="515" t="s">
        <v>1053</v>
      </c>
      <c r="D29" s="290" t="s">
        <v>322</v>
      </c>
      <c r="E29" s="290" t="s">
        <v>350</v>
      </c>
      <c r="F29" s="290">
        <v>2025</v>
      </c>
      <c r="G29" s="290">
        <v>2025</v>
      </c>
      <c r="H29" s="290">
        <v>2025</v>
      </c>
      <c r="I29" s="291">
        <v>54610</v>
      </c>
      <c r="J29" s="506">
        <f t="shared" si="37"/>
        <v>1</v>
      </c>
      <c r="K29" s="436">
        <f t="shared" si="38"/>
        <v>54610</v>
      </c>
      <c r="L29" s="306">
        <v>8</v>
      </c>
      <c r="M29" s="291">
        <v>0</v>
      </c>
      <c r="N29" s="503">
        <v>1200</v>
      </c>
      <c r="O29" s="291">
        <v>3</v>
      </c>
      <c r="P29" s="291">
        <f t="shared" si="39"/>
        <v>0</v>
      </c>
      <c r="Q29" s="291">
        <f t="shared" si="40"/>
        <v>0</v>
      </c>
      <c r="R29" s="291">
        <f t="shared" si="41"/>
        <v>0</v>
      </c>
      <c r="S29" s="291">
        <f t="shared" si="42"/>
        <v>0</v>
      </c>
      <c r="T29" s="436">
        <f t="shared" si="43"/>
        <v>0</v>
      </c>
      <c r="U29" s="436">
        <f t="shared" si="44"/>
        <v>0</v>
      </c>
      <c r="V29" s="436">
        <f t="shared" si="45"/>
        <v>0</v>
      </c>
      <c r="W29" s="291">
        <f t="shared" si="46"/>
        <v>0</v>
      </c>
      <c r="X29" s="426">
        <f t="shared" si="47"/>
        <v>0</v>
      </c>
      <c r="Y29" s="291">
        <f t="shared" si="48"/>
        <v>0</v>
      </c>
      <c r="Z29" s="308">
        <f t="shared" si="49"/>
        <v>0</v>
      </c>
      <c r="AA29" s="312">
        <v>20000</v>
      </c>
      <c r="AB29" s="291">
        <v>30</v>
      </c>
      <c r="AC29" s="291">
        <f t="shared" si="50"/>
        <v>6000</v>
      </c>
      <c r="AD29" s="291">
        <f>'B.0.ConsumiblesMaquinaria'!$J$26</f>
        <v>0.4</v>
      </c>
      <c r="AE29" s="291">
        <f t="shared" si="51"/>
        <v>0</v>
      </c>
      <c r="AF29" s="292">
        <v>0</v>
      </c>
      <c r="AG29" s="291">
        <v>0</v>
      </c>
      <c r="AH29" s="291">
        <f t="shared" si="53"/>
        <v>0</v>
      </c>
      <c r="AI29" s="306">
        <f t="shared" si="54"/>
        <v>0</v>
      </c>
      <c r="AJ29" s="306">
        <f t="shared" si="55"/>
        <v>0</v>
      </c>
      <c r="AK29" s="291">
        <v>0.12</v>
      </c>
      <c r="AL29" s="291">
        <f t="shared" si="56"/>
        <v>0</v>
      </c>
      <c r="AM29" s="291">
        <f t="shared" si="57"/>
        <v>0</v>
      </c>
      <c r="AN29" s="291">
        <v>248</v>
      </c>
      <c r="AO29" s="291">
        <f t="shared" si="60"/>
        <v>0</v>
      </c>
      <c r="AP29" s="291">
        <f t="shared" si="61"/>
        <v>0</v>
      </c>
      <c r="AQ29" s="308">
        <f t="shared" si="62"/>
        <v>0</v>
      </c>
      <c r="AR29" s="538"/>
    </row>
    <row r="30" spans="1:44">
      <c r="A30" s="307">
        <v>0</v>
      </c>
      <c r="B30" s="293" t="s">
        <v>340</v>
      </c>
      <c r="C30" s="519" t="s">
        <v>321</v>
      </c>
      <c r="D30" s="293" t="s">
        <v>322</v>
      </c>
      <c r="E30" s="293" t="s">
        <v>344</v>
      </c>
      <c r="F30" s="290">
        <f t="shared" si="35"/>
        <v>2025</v>
      </c>
      <c r="G30" s="293">
        <f t="shared" si="36"/>
        <v>2025</v>
      </c>
      <c r="H30" s="293">
        <f t="shared" si="36"/>
        <v>2033</v>
      </c>
      <c r="I30" s="294">
        <v>27500</v>
      </c>
      <c r="J30" s="506">
        <f t="shared" si="37"/>
        <v>1</v>
      </c>
      <c r="K30" s="505">
        <f t="shared" si="38"/>
        <v>27500</v>
      </c>
      <c r="L30" s="306">
        <v>8</v>
      </c>
      <c r="M30" s="294">
        <f>H30-G30</f>
        <v>8</v>
      </c>
      <c r="N30" s="503">
        <v>700</v>
      </c>
      <c r="O30" s="294">
        <v>3</v>
      </c>
      <c r="P30" s="291">
        <f t="shared" si="39"/>
        <v>0</v>
      </c>
      <c r="Q30" s="291">
        <f t="shared" si="40"/>
        <v>0</v>
      </c>
      <c r="R30" s="291">
        <f t="shared" si="41"/>
        <v>0</v>
      </c>
      <c r="S30" s="291">
        <f t="shared" si="42"/>
        <v>0</v>
      </c>
      <c r="T30" s="436">
        <f t="shared" si="43"/>
        <v>0</v>
      </c>
      <c r="U30" s="306">
        <f t="shared" si="44"/>
        <v>0</v>
      </c>
      <c r="V30" s="291">
        <f t="shared" si="45"/>
        <v>0</v>
      </c>
      <c r="W30" s="291">
        <f t="shared" si="46"/>
        <v>0</v>
      </c>
      <c r="X30" s="426">
        <f t="shared" si="47"/>
        <v>0</v>
      </c>
      <c r="Y30" s="291">
        <f t="shared" si="48"/>
        <v>0</v>
      </c>
      <c r="Z30" s="308">
        <f t="shared" si="49"/>
        <v>0</v>
      </c>
      <c r="AA30" s="313">
        <f>20000</f>
        <v>20000</v>
      </c>
      <c r="AB30" s="294">
        <v>12</v>
      </c>
      <c r="AC30" s="294">
        <f t="shared" si="50"/>
        <v>2400</v>
      </c>
      <c r="AD30" s="291">
        <f>'B.0.ConsumiblesMaquinaria'!$J$23</f>
        <v>1.6</v>
      </c>
      <c r="AE30" s="294">
        <f t="shared" si="51"/>
        <v>0</v>
      </c>
      <c r="AF30" s="295">
        <f>0.002038*AA30*1.04</f>
        <v>42.3904</v>
      </c>
      <c r="AG30" s="294">
        <f t="shared" si="52"/>
        <v>4.8</v>
      </c>
      <c r="AH30" s="294">
        <f t="shared" si="53"/>
        <v>0</v>
      </c>
      <c r="AI30" s="306">
        <f t="shared" si="54"/>
        <v>0</v>
      </c>
      <c r="AJ30" s="306">
        <f t="shared" si="55"/>
        <v>0</v>
      </c>
      <c r="AK30" s="294">
        <v>0.11</v>
      </c>
      <c r="AL30" s="294">
        <f t="shared" si="56"/>
        <v>0</v>
      </c>
      <c r="AM30" s="294">
        <f t="shared" si="57"/>
        <v>0</v>
      </c>
      <c r="AN30" s="294">
        <v>248</v>
      </c>
      <c r="AO30" s="294">
        <f t="shared" si="60"/>
        <v>0</v>
      </c>
      <c r="AP30" s="294">
        <f t="shared" si="61"/>
        <v>0</v>
      </c>
      <c r="AQ30" s="314">
        <f t="shared" si="62"/>
        <v>0</v>
      </c>
      <c r="AR30" s="538"/>
    </row>
    <row r="31" spans="1:44">
      <c r="A31" s="307">
        <v>0</v>
      </c>
      <c r="B31" s="296" t="s">
        <v>345</v>
      </c>
      <c r="C31" s="520" t="s">
        <v>321</v>
      </c>
      <c r="D31" s="293" t="s">
        <v>322</v>
      </c>
      <c r="E31" s="293" t="s">
        <v>346</v>
      </c>
      <c r="F31" s="290">
        <f t="shared" si="35"/>
        <v>2025</v>
      </c>
      <c r="G31" s="293">
        <f t="shared" si="36"/>
        <v>2025</v>
      </c>
      <c r="H31" s="293">
        <f t="shared" si="36"/>
        <v>2033</v>
      </c>
      <c r="I31" s="294">
        <v>31662.5</v>
      </c>
      <c r="J31" s="506">
        <f t="shared" si="37"/>
        <v>1</v>
      </c>
      <c r="K31" s="505">
        <f t="shared" si="38"/>
        <v>31662.5</v>
      </c>
      <c r="L31" s="306">
        <v>8</v>
      </c>
      <c r="M31" s="294">
        <f>H31-G31</f>
        <v>8</v>
      </c>
      <c r="N31" s="503">
        <v>800</v>
      </c>
      <c r="O31" s="294">
        <v>6</v>
      </c>
      <c r="P31" s="291">
        <f t="shared" si="39"/>
        <v>0</v>
      </c>
      <c r="Q31" s="291">
        <f t="shared" si="40"/>
        <v>0</v>
      </c>
      <c r="R31" s="291">
        <f t="shared" si="41"/>
        <v>0</v>
      </c>
      <c r="S31" s="291">
        <f t="shared" si="42"/>
        <v>0</v>
      </c>
      <c r="T31" s="436">
        <f t="shared" si="43"/>
        <v>0</v>
      </c>
      <c r="U31" s="306">
        <f t="shared" si="44"/>
        <v>0</v>
      </c>
      <c r="V31" s="291">
        <f t="shared" si="45"/>
        <v>0</v>
      </c>
      <c r="W31" s="291">
        <f t="shared" si="46"/>
        <v>0</v>
      </c>
      <c r="X31" s="426">
        <f t="shared" si="47"/>
        <v>0</v>
      </c>
      <c r="Y31" s="291">
        <f t="shared" si="48"/>
        <v>0</v>
      </c>
      <c r="Z31" s="308">
        <f t="shared" si="49"/>
        <v>0</v>
      </c>
      <c r="AA31" s="313">
        <f>20000</f>
        <v>20000</v>
      </c>
      <c r="AB31" s="294">
        <v>7.9</v>
      </c>
      <c r="AC31" s="294">
        <f t="shared" si="50"/>
        <v>1580</v>
      </c>
      <c r="AD31" s="291">
        <f>'B.0.ConsumiblesMaquinaria'!$J$23</f>
        <v>1.6</v>
      </c>
      <c r="AE31" s="294">
        <f t="shared" si="51"/>
        <v>0</v>
      </c>
      <c r="AF31" s="295">
        <f>0.002038*AA31*1.04</f>
        <v>42.3904</v>
      </c>
      <c r="AG31" s="294">
        <f t="shared" si="52"/>
        <v>4.8</v>
      </c>
      <c r="AH31" s="294">
        <f t="shared" si="53"/>
        <v>0</v>
      </c>
      <c r="AI31" s="306">
        <f t="shared" si="54"/>
        <v>0</v>
      </c>
      <c r="AJ31" s="306">
        <f t="shared" si="55"/>
        <v>0</v>
      </c>
      <c r="AK31" s="294">
        <v>1.1366000000000001</v>
      </c>
      <c r="AL31" s="294">
        <f t="shared" si="56"/>
        <v>0</v>
      </c>
      <c r="AM31" s="294">
        <f t="shared" si="57"/>
        <v>0</v>
      </c>
      <c r="AN31" s="294">
        <v>248</v>
      </c>
      <c r="AO31" s="294">
        <f t="shared" si="60"/>
        <v>0</v>
      </c>
      <c r="AP31" s="294">
        <f t="shared" si="61"/>
        <v>0</v>
      </c>
      <c r="AQ31" s="314">
        <f t="shared" si="62"/>
        <v>0</v>
      </c>
      <c r="AR31" s="538"/>
    </row>
    <row r="32" spans="1:44">
      <c r="A32" s="307">
        <v>0</v>
      </c>
      <c r="B32" s="296" t="s">
        <v>347</v>
      </c>
      <c r="C32" s="515" t="s">
        <v>1133</v>
      </c>
      <c r="D32" s="293" t="s">
        <v>322</v>
      </c>
      <c r="E32" s="293" t="s">
        <v>348</v>
      </c>
      <c r="F32" s="290">
        <f t="shared" si="35"/>
        <v>2025</v>
      </c>
      <c r="G32" s="293">
        <f t="shared" si="36"/>
        <v>2025</v>
      </c>
      <c r="H32" s="293">
        <f t="shared" si="36"/>
        <v>2033</v>
      </c>
      <c r="I32" s="294">
        <v>37987.5</v>
      </c>
      <c r="J32" s="506">
        <f t="shared" si="37"/>
        <v>1</v>
      </c>
      <c r="K32" s="505">
        <f t="shared" si="38"/>
        <v>37987.5</v>
      </c>
      <c r="L32" s="306">
        <v>8</v>
      </c>
      <c r="M32" s="294">
        <f>H32-G32</f>
        <v>8</v>
      </c>
      <c r="N32" s="503">
        <v>900</v>
      </c>
      <c r="O32" s="294">
        <v>9</v>
      </c>
      <c r="P32" s="291">
        <f t="shared" si="39"/>
        <v>0</v>
      </c>
      <c r="Q32" s="291">
        <f t="shared" si="40"/>
        <v>0</v>
      </c>
      <c r="R32" s="291">
        <f t="shared" si="41"/>
        <v>0</v>
      </c>
      <c r="S32" s="291">
        <f t="shared" si="42"/>
        <v>0</v>
      </c>
      <c r="T32" s="436">
        <f t="shared" si="43"/>
        <v>0</v>
      </c>
      <c r="U32" s="306">
        <f t="shared" si="44"/>
        <v>0</v>
      </c>
      <c r="V32" s="291">
        <f t="shared" si="45"/>
        <v>0</v>
      </c>
      <c r="W32" s="291">
        <f t="shared" si="46"/>
        <v>0</v>
      </c>
      <c r="X32" s="426">
        <f t="shared" si="47"/>
        <v>0</v>
      </c>
      <c r="Y32" s="291">
        <f t="shared" si="48"/>
        <v>0</v>
      </c>
      <c r="Z32" s="308">
        <f t="shared" si="49"/>
        <v>0</v>
      </c>
      <c r="AA32" s="313">
        <f>20000</f>
        <v>20000</v>
      </c>
      <c r="AB32" s="294">
        <v>7.9</v>
      </c>
      <c r="AC32" s="294">
        <f t="shared" si="50"/>
        <v>1580</v>
      </c>
      <c r="AD32" s="291">
        <f>'B.0.ConsumiblesMaquinaria'!$J$23</f>
        <v>1.6</v>
      </c>
      <c r="AE32" s="294">
        <f t="shared" si="51"/>
        <v>0</v>
      </c>
      <c r="AF32" s="295">
        <f>0.002038*AA32*1.04</f>
        <v>42.3904</v>
      </c>
      <c r="AG32" s="294">
        <f t="shared" si="52"/>
        <v>4.8</v>
      </c>
      <c r="AH32" s="294">
        <f t="shared" si="53"/>
        <v>0</v>
      </c>
      <c r="AI32" s="306">
        <f t="shared" si="54"/>
        <v>0</v>
      </c>
      <c r="AJ32" s="306">
        <f t="shared" si="55"/>
        <v>0</v>
      </c>
      <c r="AK32" s="294">
        <v>2.1366000000000001</v>
      </c>
      <c r="AL32" s="294">
        <f t="shared" si="56"/>
        <v>0</v>
      </c>
      <c r="AM32" s="294">
        <f t="shared" si="57"/>
        <v>0</v>
      </c>
      <c r="AN32" s="294">
        <v>248</v>
      </c>
      <c r="AO32" s="294">
        <f t="shared" si="60"/>
        <v>0</v>
      </c>
      <c r="AP32" s="294">
        <f t="shared" si="61"/>
        <v>0</v>
      </c>
      <c r="AQ32" s="314">
        <f t="shared" si="62"/>
        <v>0</v>
      </c>
      <c r="AR32" s="538"/>
    </row>
    <row r="33" spans="1:44">
      <c r="A33" s="307">
        <v>2</v>
      </c>
      <c r="B33" s="293" t="s">
        <v>349</v>
      </c>
      <c r="C33" s="519" t="s">
        <v>321</v>
      </c>
      <c r="D33" s="293" t="s">
        <v>322</v>
      </c>
      <c r="E33" s="293" t="s">
        <v>350</v>
      </c>
      <c r="F33" s="290">
        <f t="shared" si="35"/>
        <v>2025</v>
      </c>
      <c r="G33" s="293">
        <f t="shared" si="36"/>
        <v>2025</v>
      </c>
      <c r="H33" s="293">
        <f t="shared" si="36"/>
        <v>2033</v>
      </c>
      <c r="I33" s="294">
        <v>30000</v>
      </c>
      <c r="J33" s="506">
        <f t="shared" si="37"/>
        <v>1</v>
      </c>
      <c r="K33" s="505">
        <f t="shared" si="38"/>
        <v>30000</v>
      </c>
      <c r="L33" s="306">
        <v>8</v>
      </c>
      <c r="M33" s="294">
        <f>H33-G33</f>
        <v>8</v>
      </c>
      <c r="N33" s="503">
        <v>1000</v>
      </c>
      <c r="O33" s="294">
        <v>3</v>
      </c>
      <c r="P33" s="291">
        <f t="shared" si="39"/>
        <v>60000</v>
      </c>
      <c r="Q33" s="291">
        <f t="shared" si="40"/>
        <v>3750</v>
      </c>
      <c r="R33" s="291">
        <f t="shared" si="41"/>
        <v>7500</v>
      </c>
      <c r="S33" s="291">
        <f t="shared" si="42"/>
        <v>966.99551245476323</v>
      </c>
      <c r="T33" s="436">
        <f t="shared" si="43"/>
        <v>1933.9910249095265</v>
      </c>
      <c r="U33" s="306">
        <f t="shared" si="44"/>
        <v>9433.9910249095265</v>
      </c>
      <c r="V33" s="291">
        <f t="shared" si="45"/>
        <v>468.75</v>
      </c>
      <c r="W33" s="291">
        <f t="shared" si="46"/>
        <v>937.5</v>
      </c>
      <c r="X33" s="426">
        <f t="shared" si="47"/>
        <v>0</v>
      </c>
      <c r="Y33" s="291">
        <f t="shared" si="48"/>
        <v>5185.7455124547632</v>
      </c>
      <c r="Z33" s="308">
        <f t="shared" si="49"/>
        <v>10371.491024909526</v>
      </c>
      <c r="AA33" s="313">
        <f>25000</f>
        <v>25000</v>
      </c>
      <c r="AB33" s="294">
        <v>10</v>
      </c>
      <c r="AC33" s="294">
        <f t="shared" si="50"/>
        <v>2500</v>
      </c>
      <c r="AD33" s="291">
        <f>'B.0.ConsumiblesMaquinaria'!$J$23</f>
        <v>1.6</v>
      </c>
      <c r="AE33" s="294">
        <f t="shared" si="51"/>
        <v>16.13</v>
      </c>
      <c r="AF33" s="295">
        <f>0.003038*AA33*1.05</f>
        <v>79.747500000000002</v>
      </c>
      <c r="AG33" s="294">
        <f t="shared" si="52"/>
        <v>4.8</v>
      </c>
      <c r="AH33" s="294">
        <f t="shared" si="53"/>
        <v>1.54</v>
      </c>
      <c r="AI33" s="306">
        <f t="shared" si="54"/>
        <v>17.669999999999998</v>
      </c>
      <c r="AJ33" s="306">
        <f t="shared" si="55"/>
        <v>8764.32</v>
      </c>
      <c r="AK33" s="297">
        <v>0.12</v>
      </c>
      <c r="AL33" s="297">
        <f t="shared" si="56"/>
        <v>59.519999999999996</v>
      </c>
      <c r="AM33" s="294">
        <f t="shared" si="57"/>
        <v>17.79</v>
      </c>
      <c r="AN33" s="294">
        <v>248</v>
      </c>
      <c r="AO33" s="294">
        <f t="shared" si="60"/>
        <v>4411.92</v>
      </c>
      <c r="AP33" s="294">
        <f t="shared" si="61"/>
        <v>8823.84</v>
      </c>
      <c r="AQ33" s="314">
        <f t="shared" si="62"/>
        <v>19195.331024909527</v>
      </c>
      <c r="AR33" s="538"/>
    </row>
    <row r="34" spans="1:44">
      <c r="A34" s="307">
        <v>3</v>
      </c>
      <c r="B34" s="319" t="s">
        <v>351</v>
      </c>
      <c r="C34" s="521" t="s">
        <v>321</v>
      </c>
      <c r="D34" s="319" t="s">
        <v>322</v>
      </c>
      <c r="E34" s="319" t="s">
        <v>350</v>
      </c>
      <c r="F34" s="309">
        <f t="shared" si="35"/>
        <v>2025</v>
      </c>
      <c r="G34" s="319">
        <f t="shared" si="36"/>
        <v>2025</v>
      </c>
      <c r="H34" s="319">
        <f t="shared" si="36"/>
        <v>2033</v>
      </c>
      <c r="I34" s="316">
        <v>37578.75</v>
      </c>
      <c r="J34" s="506">
        <f t="shared" si="37"/>
        <v>1</v>
      </c>
      <c r="K34" s="502">
        <f t="shared" si="38"/>
        <v>37578.75</v>
      </c>
      <c r="L34" s="306">
        <v>8</v>
      </c>
      <c r="M34" s="316">
        <f>H34-G34</f>
        <v>8</v>
      </c>
      <c r="N34" s="503">
        <v>1100</v>
      </c>
      <c r="O34" s="316">
        <v>5</v>
      </c>
      <c r="P34" s="310">
        <f t="shared" si="39"/>
        <v>112736.25</v>
      </c>
      <c r="Q34" s="310">
        <f t="shared" si="40"/>
        <v>4697.34375</v>
      </c>
      <c r="R34" s="310">
        <f t="shared" si="41"/>
        <v>14092.03125</v>
      </c>
      <c r="S34" s="310">
        <f t="shared" si="42"/>
        <v>1211.2827537886478</v>
      </c>
      <c r="T34" s="437">
        <f t="shared" si="43"/>
        <v>3633.8482613659435</v>
      </c>
      <c r="U34" s="306">
        <f t="shared" si="44"/>
        <v>17725.879511365943</v>
      </c>
      <c r="V34" s="310">
        <f t="shared" si="45"/>
        <v>587.16796875</v>
      </c>
      <c r="W34" s="310">
        <f t="shared" si="46"/>
        <v>1761.50390625</v>
      </c>
      <c r="X34" s="427">
        <f t="shared" si="47"/>
        <v>0</v>
      </c>
      <c r="Y34" s="310">
        <f t="shared" si="48"/>
        <v>6495.7944725386478</v>
      </c>
      <c r="Z34" s="311">
        <f t="shared" si="49"/>
        <v>19487.383417615943</v>
      </c>
      <c r="AA34" s="315">
        <f>25000</f>
        <v>25000</v>
      </c>
      <c r="AB34" s="316">
        <v>10</v>
      </c>
      <c r="AC34" s="316">
        <f t="shared" si="50"/>
        <v>2500</v>
      </c>
      <c r="AD34" s="291">
        <f>'B.0.ConsumiblesMaquinaria'!$J$23</f>
        <v>1.6</v>
      </c>
      <c r="AE34" s="316">
        <f t="shared" si="51"/>
        <v>16.13</v>
      </c>
      <c r="AF34" s="317">
        <f>0.003038*AA34*1.05</f>
        <v>79.747500000000002</v>
      </c>
      <c r="AG34" s="316">
        <f t="shared" si="52"/>
        <v>4.8</v>
      </c>
      <c r="AH34" s="316">
        <f t="shared" si="53"/>
        <v>1.54</v>
      </c>
      <c r="AI34" s="306">
        <f t="shared" si="54"/>
        <v>17.669999999999998</v>
      </c>
      <c r="AJ34" s="306">
        <f t="shared" si="55"/>
        <v>13146.48</v>
      </c>
      <c r="AK34" s="316">
        <v>0.150315</v>
      </c>
      <c r="AL34" s="316">
        <f t="shared" si="56"/>
        <v>111.83436</v>
      </c>
      <c r="AM34" s="316">
        <f t="shared" si="57"/>
        <v>17.820314999999997</v>
      </c>
      <c r="AN34" s="316">
        <v>248</v>
      </c>
      <c r="AO34" s="316">
        <f t="shared" si="60"/>
        <v>4419.4381199999989</v>
      </c>
      <c r="AP34" s="316">
        <f t="shared" si="61"/>
        <v>13258.314359999997</v>
      </c>
      <c r="AQ34" s="318">
        <f t="shared" si="62"/>
        <v>32745.69777761594</v>
      </c>
      <c r="AR34" s="538"/>
    </row>
    <row r="35" spans="1:44">
      <c r="A35" s="830" t="s">
        <v>352</v>
      </c>
      <c r="B35" s="831" t="s">
        <v>352</v>
      </c>
      <c r="C35" s="831"/>
      <c r="D35" s="93"/>
      <c r="E35" s="93"/>
      <c r="F35" s="93"/>
      <c r="G35" s="93"/>
      <c r="H35" s="93"/>
      <c r="I35" s="93"/>
      <c r="J35" s="93"/>
      <c r="K35" s="93"/>
      <c r="L35" s="93"/>
      <c r="M35" s="93"/>
      <c r="N35" s="504"/>
      <c r="O35" s="93"/>
      <c r="P35" s="93"/>
      <c r="Q35" s="93"/>
      <c r="R35" s="93"/>
      <c r="S35" s="93"/>
      <c r="T35" s="93"/>
      <c r="U35" s="93"/>
      <c r="V35" s="501">
        <v>0.125</v>
      </c>
      <c r="W35" s="93"/>
      <c r="X35" s="428"/>
      <c r="Y35" s="93"/>
      <c r="Z35" s="93"/>
      <c r="AA35" s="93"/>
      <c r="AB35" s="93"/>
      <c r="AC35" s="93"/>
      <c r="AD35" s="93"/>
      <c r="AE35" s="93"/>
      <c r="AF35" s="93"/>
      <c r="AG35" s="93"/>
      <c r="AH35" s="93"/>
      <c r="AI35" s="93"/>
      <c r="AJ35" s="93"/>
      <c r="AK35" s="93"/>
      <c r="AL35" s="93"/>
      <c r="AM35" s="93"/>
      <c r="AN35" s="93"/>
      <c r="AO35" s="93"/>
      <c r="AP35" s="93"/>
      <c r="AQ35" s="342"/>
      <c r="AR35" s="538"/>
    </row>
    <row r="36" spans="1:44">
      <c r="A36" s="307">
        <v>0</v>
      </c>
      <c r="B36" s="293" t="s">
        <v>353</v>
      </c>
      <c r="C36" s="516" t="s">
        <v>1134</v>
      </c>
      <c r="D36" s="293" t="s">
        <v>322</v>
      </c>
      <c r="E36" s="293" t="s">
        <v>354</v>
      </c>
      <c r="F36" s="293">
        <f>G36</f>
        <v>2025</v>
      </c>
      <c r="G36" s="293">
        <f>G$5</f>
        <v>2025</v>
      </c>
      <c r="H36" s="293">
        <f t="shared" si="36"/>
        <v>2033</v>
      </c>
      <c r="I36" s="294">
        <v>38000</v>
      </c>
      <c r="J36" s="506">
        <f t="shared" ref="J36:J38" si="63">$J$6</f>
        <v>1</v>
      </c>
      <c r="K36" s="505">
        <f t="shared" ref="K36:K38" si="64">I36*J36</f>
        <v>38000</v>
      </c>
      <c r="L36" s="306">
        <v>8</v>
      </c>
      <c r="M36" s="294">
        <f>H36-G36</f>
        <v>8</v>
      </c>
      <c r="N36" s="503">
        <v>650</v>
      </c>
      <c r="O36" s="294">
        <v>5</v>
      </c>
      <c r="P36" s="291">
        <f t="shared" ref="P36:P38" si="65">K36*A36</f>
        <v>0</v>
      </c>
      <c r="Q36" s="291">
        <f t="shared" ref="Q36:Q38" si="66">IF(A36&gt;0,K36/L36,0)</f>
        <v>0</v>
      </c>
      <c r="R36" s="291">
        <f t="shared" ref="R36:R38" si="67">Q36*A36</f>
        <v>0</v>
      </c>
      <c r="S36" s="291">
        <f t="shared" ref="S36:S38" si="68">IF(A36=0,0,PMT($S$6,L36,-K36)-Q36)</f>
        <v>0</v>
      </c>
      <c r="T36" s="436">
        <f t="shared" ref="T36:T38" si="69">S36*A36</f>
        <v>0</v>
      </c>
      <c r="U36" s="306">
        <f t="shared" ref="U36:U38" si="70">(S36+Q36)*A36</f>
        <v>0</v>
      </c>
      <c r="V36" s="436">
        <f t="shared" ref="V36:V38" si="71">Q36*V$6</f>
        <v>0</v>
      </c>
      <c r="W36" s="291">
        <f t="shared" ref="W36:W38" si="72">V36*A36</f>
        <v>0</v>
      </c>
      <c r="X36" s="426">
        <f t="shared" ref="X36:X38" si="73">Q36*(L36-(M36+(G36-F36)))</f>
        <v>0</v>
      </c>
      <c r="Y36" s="291">
        <f t="shared" ref="Y36:Y38" si="74">IF(A36&gt;0,(Q36+S36+V36),0)</f>
        <v>0</v>
      </c>
      <c r="Z36" s="308">
        <f t="shared" ref="Z36:Z38" si="75">(IF(A36&gt;0,(Q36+S36+V36),0)*A36)</f>
        <v>0</v>
      </c>
      <c r="AA36" s="313">
        <v>25000</v>
      </c>
      <c r="AB36" s="294">
        <v>0</v>
      </c>
      <c r="AC36" s="294">
        <f t="shared" ref="AC36:AC38" si="76">ROUND(AA36*AB36,2)/100</f>
        <v>0</v>
      </c>
      <c r="AD36" s="291">
        <f>'B.0.ConsumiblesMaquinaria'!$J$26</f>
        <v>0.4</v>
      </c>
      <c r="AE36" s="294">
        <f t="shared" ref="AE36:AE38" si="77">IF(A36&gt;0,+ROUND(AD36*AC36/248,2),0)</f>
        <v>0</v>
      </c>
      <c r="AF36" s="295">
        <f>0.003038*AA36*0.7</f>
        <v>53.164999999999999</v>
      </c>
      <c r="AG36" s="294">
        <f>AG$5</f>
        <v>4.8</v>
      </c>
      <c r="AH36" s="294">
        <f t="shared" ref="AH36:AH38" si="78">IF(A36&gt;0,+ROUND(AG36*AF36/248,2),0)</f>
        <v>0</v>
      </c>
      <c r="AI36" s="306">
        <f t="shared" ref="AI36:AI38" si="79">AH36+AE36</f>
        <v>0</v>
      </c>
      <c r="AJ36" s="306">
        <f t="shared" ref="AJ36:AJ38" si="80">(AI36*AN36)*A36</f>
        <v>0</v>
      </c>
      <c r="AK36" s="294">
        <v>0.28999999999999998</v>
      </c>
      <c r="AL36" s="294">
        <f t="shared" ref="AL36:AL38" si="81">(AK36*AN36)*A36</f>
        <v>0</v>
      </c>
      <c r="AM36" s="294">
        <f t="shared" ref="AM36:AM38" si="82">IF(A36&gt;0,+AH36+AE36+AK36,0)</f>
        <v>0</v>
      </c>
      <c r="AN36" s="294">
        <v>248</v>
      </c>
      <c r="AO36" s="294">
        <f t="shared" ref="AO36:AO38" si="83">AM36*AN36</f>
        <v>0</v>
      </c>
      <c r="AP36" s="294">
        <f t="shared" ref="AP36:AP38" si="84">AO36*A36</f>
        <v>0</v>
      </c>
      <c r="AQ36" s="314">
        <f t="shared" ref="AQ36:AQ38" si="85">Z36+AP36</f>
        <v>0</v>
      </c>
      <c r="AR36" s="538"/>
    </row>
    <row r="37" spans="1:44">
      <c r="A37" s="307">
        <v>4</v>
      </c>
      <c r="B37" s="293" t="s">
        <v>353</v>
      </c>
      <c r="C37" s="516" t="s">
        <v>1054</v>
      </c>
      <c r="D37" s="293" t="s">
        <v>322</v>
      </c>
      <c r="E37" s="293" t="s">
        <v>354</v>
      </c>
      <c r="F37" s="293">
        <v>2025</v>
      </c>
      <c r="G37" s="293">
        <v>2025</v>
      </c>
      <c r="H37" s="293">
        <f t="shared" si="36"/>
        <v>2033</v>
      </c>
      <c r="I37" s="294">
        <v>32568</v>
      </c>
      <c r="J37" s="506">
        <f t="shared" si="63"/>
        <v>1</v>
      </c>
      <c r="K37" s="505">
        <f t="shared" si="64"/>
        <v>32568</v>
      </c>
      <c r="L37" s="306">
        <v>8</v>
      </c>
      <c r="M37" s="294">
        <v>0</v>
      </c>
      <c r="N37" s="503">
        <v>575</v>
      </c>
      <c r="O37" s="294">
        <v>5</v>
      </c>
      <c r="P37" s="291">
        <f t="shared" si="65"/>
        <v>130272</v>
      </c>
      <c r="Q37" s="291">
        <f t="shared" si="66"/>
        <v>4071</v>
      </c>
      <c r="R37" s="291">
        <f t="shared" si="67"/>
        <v>16284</v>
      </c>
      <c r="S37" s="291">
        <f t="shared" si="68"/>
        <v>1049.7703283208903</v>
      </c>
      <c r="T37" s="436">
        <f t="shared" si="69"/>
        <v>4199.081313283561</v>
      </c>
      <c r="U37" s="306">
        <f t="shared" si="70"/>
        <v>20483.081313283561</v>
      </c>
      <c r="V37" s="436">
        <f t="shared" si="71"/>
        <v>508.875</v>
      </c>
      <c r="W37" s="291">
        <f t="shared" si="72"/>
        <v>2035.5</v>
      </c>
      <c r="X37" s="426">
        <f t="shared" si="73"/>
        <v>32568</v>
      </c>
      <c r="Y37" s="291">
        <f t="shared" si="74"/>
        <v>5629.6453283208903</v>
      </c>
      <c r="Z37" s="308">
        <f t="shared" si="75"/>
        <v>22518.581313283561</v>
      </c>
      <c r="AA37" s="313">
        <v>25000</v>
      </c>
      <c r="AB37" s="294">
        <v>30</v>
      </c>
      <c r="AC37" s="294">
        <f t="shared" si="76"/>
        <v>7500</v>
      </c>
      <c r="AD37" s="291">
        <f>'B.0.ConsumiblesMaquinaria'!$J$26</f>
        <v>0.4</v>
      </c>
      <c r="AE37" s="294">
        <f t="shared" si="77"/>
        <v>12.1</v>
      </c>
      <c r="AF37" s="295">
        <v>0</v>
      </c>
      <c r="AG37" s="294">
        <v>0</v>
      </c>
      <c r="AH37" s="294">
        <f t="shared" si="78"/>
        <v>0</v>
      </c>
      <c r="AI37" s="306">
        <f t="shared" si="79"/>
        <v>12.1</v>
      </c>
      <c r="AJ37" s="306">
        <f t="shared" si="80"/>
        <v>12003.199999999999</v>
      </c>
      <c r="AK37" s="294">
        <v>0.28999999999999998</v>
      </c>
      <c r="AL37" s="294">
        <f t="shared" si="81"/>
        <v>287.68</v>
      </c>
      <c r="AM37" s="294">
        <f t="shared" si="82"/>
        <v>12.389999999999999</v>
      </c>
      <c r="AN37" s="294">
        <v>248</v>
      </c>
      <c r="AO37" s="294">
        <f t="shared" si="83"/>
        <v>3072.72</v>
      </c>
      <c r="AP37" s="294">
        <f t="shared" si="84"/>
        <v>12290.88</v>
      </c>
      <c r="AQ37" s="314">
        <f t="shared" si="85"/>
        <v>34809.461313283558</v>
      </c>
      <c r="AR37" s="538"/>
    </row>
    <row r="38" spans="1:44">
      <c r="A38" s="307">
        <v>0</v>
      </c>
      <c r="B38" s="293" t="s">
        <v>353</v>
      </c>
      <c r="C38" s="522" t="s">
        <v>355</v>
      </c>
      <c r="D38" s="293" t="s">
        <v>322</v>
      </c>
      <c r="E38" s="293" t="s">
        <v>356</v>
      </c>
      <c r="F38" s="293">
        <f>G38</f>
        <v>2025</v>
      </c>
      <c r="G38" s="293">
        <f>G$5</f>
        <v>2025</v>
      </c>
      <c r="H38" s="293">
        <f t="shared" si="36"/>
        <v>2033</v>
      </c>
      <c r="I38" s="294">
        <v>18662.5</v>
      </c>
      <c r="J38" s="506">
        <f t="shared" si="63"/>
        <v>1</v>
      </c>
      <c r="K38" s="505">
        <f t="shared" si="64"/>
        <v>18662.5</v>
      </c>
      <c r="L38" s="306">
        <v>8</v>
      </c>
      <c r="M38" s="294">
        <f>H38-G38</f>
        <v>8</v>
      </c>
      <c r="N38" s="503">
        <v>400</v>
      </c>
      <c r="O38" s="294">
        <v>4</v>
      </c>
      <c r="P38" s="291">
        <f t="shared" si="65"/>
        <v>0</v>
      </c>
      <c r="Q38" s="291">
        <f t="shared" si="66"/>
        <v>0</v>
      </c>
      <c r="R38" s="291">
        <f t="shared" si="67"/>
        <v>0</v>
      </c>
      <c r="S38" s="291">
        <f t="shared" si="68"/>
        <v>0</v>
      </c>
      <c r="T38" s="436">
        <f t="shared" si="69"/>
        <v>0</v>
      </c>
      <c r="U38" s="306">
        <f t="shared" si="70"/>
        <v>0</v>
      </c>
      <c r="V38" s="436">
        <f t="shared" si="71"/>
        <v>0</v>
      </c>
      <c r="W38" s="291">
        <f t="shared" si="72"/>
        <v>0</v>
      </c>
      <c r="X38" s="426">
        <f t="shared" si="73"/>
        <v>0</v>
      </c>
      <c r="Y38" s="291">
        <f t="shared" si="74"/>
        <v>0</v>
      </c>
      <c r="Z38" s="308">
        <f t="shared" si="75"/>
        <v>0</v>
      </c>
      <c r="AA38" s="313">
        <f>25000</f>
        <v>25000</v>
      </c>
      <c r="AB38" s="294">
        <v>5.4</v>
      </c>
      <c r="AC38" s="294">
        <f t="shared" si="76"/>
        <v>1350</v>
      </c>
      <c r="AD38" s="294">
        <f>'B.0.ConsumiblesMaquinaria'!$J$22</f>
        <v>1.7</v>
      </c>
      <c r="AE38" s="294">
        <f t="shared" si="77"/>
        <v>0</v>
      </c>
      <c r="AF38" s="295">
        <f>0.002038*AA38*1.02</f>
        <v>51.968999999999994</v>
      </c>
      <c r="AG38" s="294">
        <f>AG$5</f>
        <v>4.8</v>
      </c>
      <c r="AH38" s="294">
        <f t="shared" si="78"/>
        <v>0</v>
      </c>
      <c r="AI38" s="306">
        <f t="shared" si="79"/>
        <v>0</v>
      </c>
      <c r="AJ38" s="306">
        <f t="shared" si="80"/>
        <v>0</v>
      </c>
      <c r="AK38" s="294">
        <v>7.4649999999999994E-2</v>
      </c>
      <c r="AL38" s="294">
        <f t="shared" si="81"/>
        <v>0</v>
      </c>
      <c r="AM38" s="294">
        <f t="shared" si="82"/>
        <v>0</v>
      </c>
      <c r="AN38" s="294">
        <v>248</v>
      </c>
      <c r="AO38" s="294">
        <f t="shared" si="83"/>
        <v>0</v>
      </c>
      <c r="AP38" s="294">
        <f t="shared" si="84"/>
        <v>0</v>
      </c>
      <c r="AQ38" s="314">
        <f t="shared" si="85"/>
        <v>0</v>
      </c>
      <c r="AR38" s="538"/>
    </row>
    <row r="39" spans="1:44">
      <c r="A39" s="830" t="s">
        <v>357</v>
      </c>
      <c r="B39" s="831" t="s">
        <v>358</v>
      </c>
      <c r="C39" s="831"/>
      <c r="D39" s="93"/>
      <c r="E39" s="93"/>
      <c r="F39" s="93"/>
      <c r="G39" s="93"/>
      <c r="H39" s="93"/>
      <c r="I39" s="93"/>
      <c r="J39" s="93"/>
      <c r="K39" s="93"/>
      <c r="L39" s="93"/>
      <c r="M39" s="93"/>
      <c r="N39" s="504"/>
      <c r="O39" s="93"/>
      <c r="P39" s="93"/>
      <c r="Q39" s="93"/>
      <c r="R39" s="93"/>
      <c r="S39" s="93"/>
      <c r="T39" s="93"/>
      <c r="U39" s="93"/>
      <c r="V39" s="501">
        <v>0.14499999999999999</v>
      </c>
      <c r="W39" s="93"/>
      <c r="X39" s="428"/>
      <c r="Y39" s="93"/>
      <c r="Z39" s="93"/>
      <c r="AA39" s="93"/>
      <c r="AB39" s="93"/>
      <c r="AC39" s="93"/>
      <c r="AD39" s="93"/>
      <c r="AE39" s="93"/>
      <c r="AF39" s="93"/>
      <c r="AG39" s="93"/>
      <c r="AH39" s="93"/>
      <c r="AI39" s="93"/>
      <c r="AJ39" s="93"/>
      <c r="AK39" s="93"/>
      <c r="AL39" s="93"/>
      <c r="AM39" s="93"/>
      <c r="AN39" s="93"/>
      <c r="AO39" s="93"/>
      <c r="AP39" s="93"/>
      <c r="AQ39" s="342"/>
      <c r="AR39" s="538"/>
    </row>
    <row r="40" spans="1:44">
      <c r="A40" s="307">
        <v>0</v>
      </c>
      <c r="B40" s="293" t="s">
        <v>359</v>
      </c>
      <c r="C40" s="516" t="s">
        <v>1055</v>
      </c>
      <c r="D40" s="293" t="s">
        <v>360</v>
      </c>
      <c r="E40" s="293" t="s">
        <v>361</v>
      </c>
      <c r="F40" s="293">
        <f t="shared" ref="F40:F47" si="86">G40</f>
        <v>2025</v>
      </c>
      <c r="G40" s="293">
        <f t="shared" ref="G40:H47" si="87">G$5</f>
        <v>2025</v>
      </c>
      <c r="H40" s="293">
        <f t="shared" si="87"/>
        <v>2033</v>
      </c>
      <c r="I40" s="294">
        <v>9375</v>
      </c>
      <c r="J40" s="506">
        <f t="shared" ref="J40:J47" si="88">$J$6</f>
        <v>1</v>
      </c>
      <c r="K40" s="505">
        <f t="shared" ref="K40:K47" si="89">I40*J40</f>
        <v>9375</v>
      </c>
      <c r="L40" s="306">
        <v>8</v>
      </c>
      <c r="M40" s="294">
        <f>H40-G40</f>
        <v>8</v>
      </c>
      <c r="N40" s="503"/>
      <c r="O40" s="294">
        <v>2</v>
      </c>
      <c r="P40" s="291">
        <f t="shared" ref="P40:P47" si="90">K40*A40</f>
        <v>0</v>
      </c>
      <c r="Q40" s="291">
        <f t="shared" ref="Q40:Q47" si="91">IF(A40&gt;0,K40/L40,0)</f>
        <v>0</v>
      </c>
      <c r="R40" s="291">
        <f t="shared" ref="R40:R47" si="92">Q40*A40</f>
        <v>0</v>
      </c>
      <c r="S40" s="291">
        <f t="shared" ref="S40:S47" si="93">IF(A40=0,0,PMT($S$6,L40,-K40)-Q40)</f>
        <v>0</v>
      </c>
      <c r="T40" s="436">
        <f t="shared" ref="T40:T47" si="94">S40*A40</f>
        <v>0</v>
      </c>
      <c r="U40" s="306">
        <f t="shared" ref="U40:U47" si="95">(S40+Q40)*A40</f>
        <v>0</v>
      </c>
      <c r="V40" s="436">
        <f t="shared" ref="V40:V47" si="96">Q40*V$6</f>
        <v>0</v>
      </c>
      <c r="W40" s="291">
        <f t="shared" ref="W40:W47" si="97">V40*A40</f>
        <v>0</v>
      </c>
      <c r="X40" s="426">
        <f t="shared" ref="X40:X47" si="98">Q40*(L40-(M40+(G40-F40)))</f>
        <v>0</v>
      </c>
      <c r="Y40" s="291">
        <f t="shared" ref="Y40:Y47" si="99">IF(A40&gt;0,(Q40+S40+V40),0)</f>
        <v>0</v>
      </c>
      <c r="Z40" s="308">
        <f t="shared" ref="Z40:Z47" si="100">(IF(A40&gt;0,(Q40+S40+V40),0)*A40)</f>
        <v>0</v>
      </c>
      <c r="AA40" s="313">
        <v>5000</v>
      </c>
      <c r="AB40" s="294">
        <v>0</v>
      </c>
      <c r="AC40" s="294">
        <f t="shared" ref="AC40:AC41" si="101">ROUND(AA40*AB40,2)/100</f>
        <v>0</v>
      </c>
      <c r="AD40" s="291">
        <f>'B.0.ConsumiblesMaquinaria'!$J$26</f>
        <v>0.4</v>
      </c>
      <c r="AE40" s="294">
        <f t="shared" ref="AE40:AE47" si="102">IF(A40&gt;0,+ROUND(AD40*AC40/248,2),0)</f>
        <v>0</v>
      </c>
      <c r="AF40" s="292">
        <v>0</v>
      </c>
      <c r="AG40" s="292">
        <v>0</v>
      </c>
      <c r="AH40" s="294">
        <f t="shared" ref="AH40:AH46" si="103">IF(A40&gt;0,+ROUND(AG40*AF40/248,2),0)</f>
        <v>0</v>
      </c>
      <c r="AI40" s="306">
        <f t="shared" ref="AI40:AI47" si="104">AH40+AE40</f>
        <v>0</v>
      </c>
      <c r="AJ40" s="306">
        <f t="shared" ref="AJ40:AJ47" si="105">(AI40*AN40)*A40</f>
        <v>0</v>
      </c>
      <c r="AK40" s="294">
        <v>3.7499999999999999E-2</v>
      </c>
      <c r="AL40" s="294">
        <f t="shared" ref="AL40:AL47" si="106">(AK40*AN40)*A40</f>
        <v>0</v>
      </c>
      <c r="AM40" s="294">
        <f t="shared" ref="AM40:AM47" si="107">IF(A40&gt;0,+AH40+AE40+AK40,0)</f>
        <v>0</v>
      </c>
      <c r="AN40" s="294">
        <v>248</v>
      </c>
      <c r="AO40" s="294">
        <f t="shared" ref="AO40:AO47" si="108">AM40*AN40</f>
        <v>0</v>
      </c>
      <c r="AP40" s="294">
        <f t="shared" ref="AP40:AP47" si="109">AO40*A40</f>
        <v>0</v>
      </c>
      <c r="AQ40" s="314">
        <f t="shared" ref="AQ40:AQ47" si="110">Z40+AP40</f>
        <v>0</v>
      </c>
      <c r="AR40" s="538"/>
    </row>
    <row r="41" spans="1:44">
      <c r="A41" s="307">
        <v>1</v>
      </c>
      <c r="B41" s="293" t="s">
        <v>362</v>
      </c>
      <c r="C41" s="516" t="s">
        <v>1056</v>
      </c>
      <c r="D41" s="293" t="s">
        <v>360</v>
      </c>
      <c r="E41" s="293" t="s">
        <v>363</v>
      </c>
      <c r="F41" s="293">
        <f t="shared" si="86"/>
        <v>2025</v>
      </c>
      <c r="G41" s="293">
        <f t="shared" si="87"/>
        <v>2025</v>
      </c>
      <c r="H41" s="293">
        <f t="shared" si="87"/>
        <v>2033</v>
      </c>
      <c r="I41" s="294">
        <v>27000</v>
      </c>
      <c r="J41" s="506">
        <f t="shared" si="88"/>
        <v>1</v>
      </c>
      <c r="K41" s="505">
        <f t="shared" si="89"/>
        <v>27000</v>
      </c>
      <c r="L41" s="306">
        <v>8</v>
      </c>
      <c r="M41" s="294">
        <f>H41-G41</f>
        <v>8</v>
      </c>
      <c r="N41" s="503">
        <v>575</v>
      </c>
      <c r="O41" s="294">
        <v>5</v>
      </c>
      <c r="P41" s="291">
        <f t="shared" si="90"/>
        <v>27000</v>
      </c>
      <c r="Q41" s="291">
        <f t="shared" si="91"/>
        <v>3375</v>
      </c>
      <c r="R41" s="291">
        <f t="shared" si="92"/>
        <v>3375</v>
      </c>
      <c r="S41" s="291">
        <f t="shared" si="93"/>
        <v>870.29596120928636</v>
      </c>
      <c r="T41" s="436">
        <f t="shared" si="94"/>
        <v>870.29596120928636</v>
      </c>
      <c r="U41" s="306">
        <f t="shared" si="95"/>
        <v>4245.2959612092864</v>
      </c>
      <c r="V41" s="436">
        <f t="shared" si="96"/>
        <v>421.875</v>
      </c>
      <c r="W41" s="291">
        <f t="shared" si="97"/>
        <v>421.875</v>
      </c>
      <c r="X41" s="426">
        <f t="shared" si="98"/>
        <v>0</v>
      </c>
      <c r="Y41" s="291">
        <f t="shared" si="99"/>
        <v>4667.1709612092864</v>
      </c>
      <c r="Z41" s="308">
        <f t="shared" si="100"/>
        <v>4667.1709612092864</v>
      </c>
      <c r="AA41" s="313">
        <f>15000</f>
        <v>15000</v>
      </c>
      <c r="AB41" s="294"/>
      <c r="AC41" s="294">
        <f t="shared" si="101"/>
        <v>0</v>
      </c>
      <c r="AD41" s="291">
        <f>'B.0.ConsumiblesMaquinaria'!$J$26</f>
        <v>0.4</v>
      </c>
      <c r="AE41" s="294">
        <f t="shared" si="102"/>
        <v>0</v>
      </c>
      <c r="AF41" s="292">
        <v>0</v>
      </c>
      <c r="AG41" s="292">
        <v>0</v>
      </c>
      <c r="AH41" s="294">
        <f t="shared" si="103"/>
        <v>0</v>
      </c>
      <c r="AI41" s="306">
        <f t="shared" si="104"/>
        <v>0</v>
      </c>
      <c r="AJ41" s="306">
        <f t="shared" si="105"/>
        <v>0</v>
      </c>
      <c r="AK41" s="294">
        <v>8.5000000000000006E-2</v>
      </c>
      <c r="AL41" s="294">
        <f t="shared" si="106"/>
        <v>21.080000000000002</v>
      </c>
      <c r="AM41" s="294">
        <f t="shared" si="107"/>
        <v>8.5000000000000006E-2</v>
      </c>
      <c r="AN41" s="294">
        <v>248</v>
      </c>
      <c r="AO41" s="294">
        <f t="shared" si="108"/>
        <v>21.080000000000002</v>
      </c>
      <c r="AP41" s="294">
        <f t="shared" si="109"/>
        <v>21.080000000000002</v>
      </c>
      <c r="AQ41" s="314">
        <f t="shared" si="110"/>
        <v>4688.2509612092863</v>
      </c>
      <c r="AR41" s="538"/>
    </row>
    <row r="42" spans="1:44">
      <c r="A42" s="307">
        <v>0</v>
      </c>
      <c r="B42" s="293" t="s">
        <v>362</v>
      </c>
      <c r="C42" s="516" t="s">
        <v>1057</v>
      </c>
      <c r="D42" s="293" t="s">
        <v>360</v>
      </c>
      <c r="E42" s="293" t="s">
        <v>363</v>
      </c>
      <c r="F42" s="293">
        <f t="shared" ref="F42" si="111">G42</f>
        <v>2025</v>
      </c>
      <c r="G42" s="293">
        <f t="shared" si="87"/>
        <v>2025</v>
      </c>
      <c r="H42" s="293">
        <f t="shared" si="87"/>
        <v>2033</v>
      </c>
      <c r="I42" s="294">
        <v>38000</v>
      </c>
      <c r="J42" s="506">
        <f t="shared" si="88"/>
        <v>1</v>
      </c>
      <c r="K42" s="505">
        <f t="shared" si="89"/>
        <v>38000</v>
      </c>
      <c r="L42" s="306">
        <v>8</v>
      </c>
      <c r="M42" s="294">
        <f t="shared" ref="M42" si="112">H42-G42</f>
        <v>8</v>
      </c>
      <c r="N42" s="503">
        <v>575</v>
      </c>
      <c r="O42" s="294">
        <v>5</v>
      </c>
      <c r="P42" s="291">
        <f t="shared" si="90"/>
        <v>0</v>
      </c>
      <c r="Q42" s="291">
        <f t="shared" si="91"/>
        <v>0</v>
      </c>
      <c r="R42" s="291">
        <f t="shared" si="92"/>
        <v>0</v>
      </c>
      <c r="S42" s="291">
        <f t="shared" si="93"/>
        <v>0</v>
      </c>
      <c r="T42" s="436">
        <f t="shared" si="94"/>
        <v>0</v>
      </c>
      <c r="U42" s="306">
        <f t="shared" si="95"/>
        <v>0</v>
      </c>
      <c r="V42" s="436">
        <f t="shared" si="96"/>
        <v>0</v>
      </c>
      <c r="W42" s="291">
        <f t="shared" si="97"/>
        <v>0</v>
      </c>
      <c r="X42" s="426">
        <f t="shared" si="98"/>
        <v>0</v>
      </c>
      <c r="Y42" s="291">
        <f t="shared" si="99"/>
        <v>0</v>
      </c>
      <c r="Z42" s="308">
        <f t="shared" si="100"/>
        <v>0</v>
      </c>
      <c r="AA42" s="313">
        <f>20000</f>
        <v>20000</v>
      </c>
      <c r="AB42" s="294">
        <v>4.3</v>
      </c>
      <c r="AC42" s="294">
        <f>ROUND(AA42*AB42,2)/100</f>
        <v>860</v>
      </c>
      <c r="AD42" s="291">
        <f>'B.0.ConsumiblesMaquinaria'!$J$26</f>
        <v>0.4</v>
      </c>
      <c r="AE42" s="294">
        <f t="shared" si="102"/>
        <v>0</v>
      </c>
      <c r="AF42" s="292">
        <v>0</v>
      </c>
      <c r="AG42" s="292">
        <v>0</v>
      </c>
      <c r="AH42" s="294">
        <f t="shared" si="103"/>
        <v>0</v>
      </c>
      <c r="AI42" s="306">
        <f t="shared" si="104"/>
        <v>0</v>
      </c>
      <c r="AJ42" s="306">
        <f t="shared" si="105"/>
        <v>0</v>
      </c>
      <c r="AK42" s="294">
        <v>0.12775</v>
      </c>
      <c r="AL42" s="294">
        <f t="shared" si="106"/>
        <v>0</v>
      </c>
      <c r="AM42" s="294">
        <f t="shared" si="107"/>
        <v>0</v>
      </c>
      <c r="AN42" s="294">
        <v>248</v>
      </c>
      <c r="AO42" s="294">
        <f t="shared" si="108"/>
        <v>0</v>
      </c>
      <c r="AP42" s="294">
        <f t="shared" si="109"/>
        <v>0</v>
      </c>
      <c r="AQ42" s="314">
        <f t="shared" si="110"/>
        <v>0</v>
      </c>
      <c r="AR42" s="538"/>
    </row>
    <row r="43" spans="1:44">
      <c r="A43" s="307">
        <v>3</v>
      </c>
      <c r="B43" s="293" t="s">
        <v>364</v>
      </c>
      <c r="C43" s="522" t="s">
        <v>343</v>
      </c>
      <c r="D43" s="293" t="s">
        <v>360</v>
      </c>
      <c r="E43" s="293" t="s">
        <v>356</v>
      </c>
      <c r="F43" s="293">
        <f t="shared" si="86"/>
        <v>2025</v>
      </c>
      <c r="G43" s="293">
        <f t="shared" si="87"/>
        <v>2025</v>
      </c>
      <c r="H43" s="293">
        <f t="shared" si="87"/>
        <v>2033</v>
      </c>
      <c r="I43" s="294">
        <v>31937.5</v>
      </c>
      <c r="J43" s="506">
        <f t="shared" si="88"/>
        <v>1</v>
      </c>
      <c r="K43" s="505">
        <f t="shared" si="89"/>
        <v>31937.5</v>
      </c>
      <c r="L43" s="306">
        <v>8</v>
      </c>
      <c r="M43" s="294">
        <f>H43-G43</f>
        <v>8</v>
      </c>
      <c r="N43" s="503">
        <v>575</v>
      </c>
      <c r="O43" s="294">
        <v>5</v>
      </c>
      <c r="P43" s="291">
        <f t="shared" si="90"/>
        <v>95812.5</v>
      </c>
      <c r="Q43" s="291">
        <f t="shared" si="91"/>
        <v>3992.1875</v>
      </c>
      <c r="R43" s="291">
        <f t="shared" si="92"/>
        <v>11976.5625</v>
      </c>
      <c r="S43" s="291">
        <f t="shared" si="93"/>
        <v>1029.4473059674665</v>
      </c>
      <c r="T43" s="436">
        <f t="shared" si="94"/>
        <v>3088.3419179023995</v>
      </c>
      <c r="U43" s="306">
        <f t="shared" si="95"/>
        <v>15064.904417902399</v>
      </c>
      <c r="V43" s="436">
        <f t="shared" si="96"/>
        <v>499.0234375</v>
      </c>
      <c r="W43" s="291">
        <f t="shared" si="97"/>
        <v>1497.0703125</v>
      </c>
      <c r="X43" s="426">
        <f t="shared" si="98"/>
        <v>0</v>
      </c>
      <c r="Y43" s="291">
        <f t="shared" si="99"/>
        <v>5520.6582434674665</v>
      </c>
      <c r="Z43" s="308">
        <f t="shared" si="100"/>
        <v>16561.974730402399</v>
      </c>
      <c r="AA43" s="313">
        <f>20000</f>
        <v>20000</v>
      </c>
      <c r="AB43" s="294">
        <v>4.3</v>
      </c>
      <c r="AC43" s="294">
        <f t="shared" ref="AC43:AC47" si="113">ROUND(AA43*AB43,2)/100</f>
        <v>860</v>
      </c>
      <c r="AD43" s="294">
        <f>'B.0.ConsumiblesMaquinaria'!$J$22</f>
        <v>1.7</v>
      </c>
      <c r="AE43" s="294">
        <f t="shared" si="102"/>
        <v>5.9</v>
      </c>
      <c r="AF43" s="295">
        <f>0.002038*AA43*0.9</f>
        <v>36.683999999999997</v>
      </c>
      <c r="AG43" s="294">
        <f t="shared" ref="AG43:AG47" si="114">AG$5</f>
        <v>4.8</v>
      </c>
      <c r="AH43" s="294">
        <f t="shared" si="103"/>
        <v>0.71</v>
      </c>
      <c r="AI43" s="306">
        <f t="shared" si="104"/>
        <v>6.61</v>
      </c>
      <c r="AJ43" s="306">
        <f t="shared" si="105"/>
        <v>4917.84</v>
      </c>
      <c r="AK43" s="294">
        <v>0.12775</v>
      </c>
      <c r="AL43" s="294">
        <f t="shared" si="106"/>
        <v>95.046000000000006</v>
      </c>
      <c r="AM43" s="294">
        <f t="shared" si="107"/>
        <v>6.7377500000000001</v>
      </c>
      <c r="AN43" s="294">
        <v>248</v>
      </c>
      <c r="AO43" s="294">
        <f t="shared" si="108"/>
        <v>1670.962</v>
      </c>
      <c r="AP43" s="294">
        <f t="shared" si="109"/>
        <v>5012.8860000000004</v>
      </c>
      <c r="AQ43" s="314">
        <f t="shared" si="110"/>
        <v>21574.860730402397</v>
      </c>
      <c r="AR43" s="538"/>
    </row>
    <row r="44" spans="1:44">
      <c r="A44" s="307">
        <v>1</v>
      </c>
      <c r="B44" s="293" t="s">
        <v>365</v>
      </c>
      <c r="C44" s="522" t="s">
        <v>343</v>
      </c>
      <c r="D44" s="293" t="s">
        <v>360</v>
      </c>
      <c r="E44" s="293" t="s">
        <v>356</v>
      </c>
      <c r="F44" s="293">
        <f t="shared" si="86"/>
        <v>2025</v>
      </c>
      <c r="G44" s="293">
        <f t="shared" si="87"/>
        <v>2025</v>
      </c>
      <c r="H44" s="293">
        <f t="shared" si="87"/>
        <v>2033</v>
      </c>
      <c r="I44" s="294">
        <v>42500</v>
      </c>
      <c r="J44" s="506">
        <f t="shared" si="88"/>
        <v>1</v>
      </c>
      <c r="K44" s="505">
        <f t="shared" si="89"/>
        <v>42500</v>
      </c>
      <c r="L44" s="306">
        <v>8</v>
      </c>
      <c r="M44" s="294">
        <f>H44-G44</f>
        <v>8</v>
      </c>
      <c r="N44" s="503">
        <v>600</v>
      </c>
      <c r="O44" s="294">
        <v>5</v>
      </c>
      <c r="P44" s="291">
        <f t="shared" si="90"/>
        <v>42500</v>
      </c>
      <c r="Q44" s="291">
        <f t="shared" si="91"/>
        <v>5312.5</v>
      </c>
      <c r="R44" s="291">
        <f t="shared" si="92"/>
        <v>5312.5</v>
      </c>
      <c r="S44" s="291">
        <f t="shared" si="93"/>
        <v>1369.9103093109143</v>
      </c>
      <c r="T44" s="436">
        <f t="shared" si="94"/>
        <v>1369.9103093109143</v>
      </c>
      <c r="U44" s="306">
        <f t="shared" si="95"/>
        <v>6682.4103093109143</v>
      </c>
      <c r="V44" s="436">
        <f t="shared" si="96"/>
        <v>664.0625</v>
      </c>
      <c r="W44" s="291">
        <f t="shared" si="97"/>
        <v>664.0625</v>
      </c>
      <c r="X44" s="426">
        <f t="shared" si="98"/>
        <v>0</v>
      </c>
      <c r="Y44" s="291">
        <f t="shared" si="99"/>
        <v>7346.4728093109143</v>
      </c>
      <c r="Z44" s="308">
        <f t="shared" si="100"/>
        <v>7346.4728093109143</v>
      </c>
      <c r="AA44" s="313">
        <v>20000</v>
      </c>
      <c r="AB44" s="294">
        <v>1.7</v>
      </c>
      <c r="AC44" s="294">
        <f t="shared" si="113"/>
        <v>340</v>
      </c>
      <c r="AD44" s="294">
        <f>'B.0.ConsumiblesMaquinaria'!$J$22</f>
        <v>1.7</v>
      </c>
      <c r="AE44" s="294">
        <f t="shared" si="102"/>
        <v>2.33</v>
      </c>
      <c r="AF44" s="295">
        <f>0.002038*AA44*0.9</f>
        <v>36.683999999999997</v>
      </c>
      <c r="AG44" s="294">
        <f t="shared" si="114"/>
        <v>4.8</v>
      </c>
      <c r="AH44" s="294">
        <f t="shared" si="103"/>
        <v>0.71</v>
      </c>
      <c r="AI44" s="306">
        <f t="shared" si="104"/>
        <v>3.04</v>
      </c>
      <c r="AJ44" s="306">
        <f t="shared" si="105"/>
        <v>753.92</v>
      </c>
      <c r="AK44" s="294">
        <v>0.12775</v>
      </c>
      <c r="AL44" s="294">
        <f t="shared" si="106"/>
        <v>31.682000000000002</v>
      </c>
      <c r="AM44" s="294">
        <f t="shared" si="107"/>
        <v>3.1677499999999998</v>
      </c>
      <c r="AN44" s="294">
        <v>248</v>
      </c>
      <c r="AO44" s="294">
        <f t="shared" si="108"/>
        <v>785.60199999999998</v>
      </c>
      <c r="AP44" s="294">
        <f t="shared" si="109"/>
        <v>785.60199999999998</v>
      </c>
      <c r="AQ44" s="314">
        <f t="shared" si="110"/>
        <v>8132.0748093109141</v>
      </c>
      <c r="AR44" s="538"/>
    </row>
    <row r="45" spans="1:44">
      <c r="A45" s="307">
        <v>0</v>
      </c>
      <c r="B45" s="293" t="s">
        <v>364</v>
      </c>
      <c r="C45" s="519" t="s">
        <v>321</v>
      </c>
      <c r="D45" s="293" t="s">
        <v>360</v>
      </c>
      <c r="E45" s="293" t="s">
        <v>356</v>
      </c>
      <c r="F45" s="293">
        <f t="shared" si="86"/>
        <v>2025</v>
      </c>
      <c r="G45" s="293">
        <f t="shared" si="87"/>
        <v>2025</v>
      </c>
      <c r="H45" s="293">
        <f t="shared" si="87"/>
        <v>2033</v>
      </c>
      <c r="I45" s="294">
        <v>17687.5</v>
      </c>
      <c r="J45" s="506">
        <f t="shared" si="88"/>
        <v>1</v>
      </c>
      <c r="K45" s="505">
        <f t="shared" si="89"/>
        <v>17687.5</v>
      </c>
      <c r="L45" s="306">
        <v>8</v>
      </c>
      <c r="M45" s="294">
        <f>H45-G45</f>
        <v>8</v>
      </c>
      <c r="N45" s="503">
        <v>400</v>
      </c>
      <c r="O45" s="294">
        <v>5</v>
      </c>
      <c r="P45" s="291">
        <f t="shared" si="90"/>
        <v>0</v>
      </c>
      <c r="Q45" s="291">
        <f t="shared" si="91"/>
        <v>0</v>
      </c>
      <c r="R45" s="291">
        <f t="shared" si="92"/>
        <v>0</v>
      </c>
      <c r="S45" s="291">
        <f t="shared" si="93"/>
        <v>0</v>
      </c>
      <c r="T45" s="436">
        <f t="shared" si="94"/>
        <v>0</v>
      </c>
      <c r="U45" s="306">
        <f t="shared" si="95"/>
        <v>0</v>
      </c>
      <c r="V45" s="436">
        <f t="shared" si="96"/>
        <v>0</v>
      </c>
      <c r="W45" s="291">
        <f t="shared" si="97"/>
        <v>0</v>
      </c>
      <c r="X45" s="426">
        <f t="shared" si="98"/>
        <v>0</v>
      </c>
      <c r="Y45" s="291">
        <f t="shared" si="99"/>
        <v>0</v>
      </c>
      <c r="Z45" s="308">
        <f t="shared" si="100"/>
        <v>0</v>
      </c>
      <c r="AA45" s="313">
        <f>20000</f>
        <v>20000</v>
      </c>
      <c r="AB45" s="294">
        <v>4.4000000000000004</v>
      </c>
      <c r="AC45" s="294">
        <f t="shared" si="113"/>
        <v>880</v>
      </c>
      <c r="AD45" s="291">
        <f>'B.0.ConsumiblesMaquinaria'!$J$23</f>
        <v>1.6</v>
      </c>
      <c r="AE45" s="294">
        <f t="shared" si="102"/>
        <v>0</v>
      </c>
      <c r="AF45" s="295">
        <f>0.002038*AA45</f>
        <v>40.76</v>
      </c>
      <c r="AG45" s="294">
        <f t="shared" si="114"/>
        <v>4.8</v>
      </c>
      <c r="AH45" s="294">
        <f t="shared" si="103"/>
        <v>0</v>
      </c>
      <c r="AI45" s="306">
        <f t="shared" si="104"/>
        <v>0</v>
      </c>
      <c r="AJ45" s="306">
        <f t="shared" si="105"/>
        <v>0</v>
      </c>
      <c r="AK45" s="294">
        <v>7.0749999999999993E-2</v>
      </c>
      <c r="AL45" s="294">
        <f t="shared" si="106"/>
        <v>0</v>
      </c>
      <c r="AM45" s="294">
        <f t="shared" si="107"/>
        <v>0</v>
      </c>
      <c r="AN45" s="294">
        <v>248</v>
      </c>
      <c r="AO45" s="294">
        <f t="shared" si="108"/>
        <v>0</v>
      </c>
      <c r="AP45" s="294">
        <f t="shared" si="109"/>
        <v>0</v>
      </c>
      <c r="AQ45" s="314">
        <f t="shared" si="110"/>
        <v>0</v>
      </c>
      <c r="AR45" s="538"/>
    </row>
    <row r="46" spans="1:44">
      <c r="A46" s="307">
        <v>0</v>
      </c>
      <c r="B46" s="293" t="s">
        <v>366</v>
      </c>
      <c r="C46" s="519" t="s">
        <v>321</v>
      </c>
      <c r="D46" s="293" t="s">
        <v>360</v>
      </c>
      <c r="E46" s="293" t="s">
        <v>356</v>
      </c>
      <c r="F46" s="293">
        <f t="shared" si="86"/>
        <v>2025</v>
      </c>
      <c r="G46" s="293">
        <f t="shared" si="87"/>
        <v>2025</v>
      </c>
      <c r="H46" s="293">
        <f t="shared" si="87"/>
        <v>2033</v>
      </c>
      <c r="I46" s="294">
        <v>36187.5</v>
      </c>
      <c r="J46" s="506">
        <f t="shared" si="88"/>
        <v>1</v>
      </c>
      <c r="K46" s="505">
        <f t="shared" si="89"/>
        <v>36187.5</v>
      </c>
      <c r="L46" s="306">
        <v>8</v>
      </c>
      <c r="M46" s="294">
        <f>H46-G46</f>
        <v>8</v>
      </c>
      <c r="N46" s="503">
        <v>700</v>
      </c>
      <c r="O46" s="294">
        <v>5</v>
      </c>
      <c r="P46" s="291">
        <f t="shared" si="90"/>
        <v>0</v>
      </c>
      <c r="Q46" s="291">
        <f t="shared" si="91"/>
        <v>0</v>
      </c>
      <c r="R46" s="291">
        <f t="shared" si="92"/>
        <v>0</v>
      </c>
      <c r="S46" s="291">
        <f t="shared" si="93"/>
        <v>0</v>
      </c>
      <c r="T46" s="436">
        <f t="shared" si="94"/>
        <v>0</v>
      </c>
      <c r="U46" s="306">
        <f t="shared" si="95"/>
        <v>0</v>
      </c>
      <c r="V46" s="436">
        <f t="shared" si="96"/>
        <v>0</v>
      </c>
      <c r="W46" s="291">
        <f t="shared" si="97"/>
        <v>0</v>
      </c>
      <c r="X46" s="426">
        <f t="shared" si="98"/>
        <v>0</v>
      </c>
      <c r="Y46" s="291">
        <f t="shared" si="99"/>
        <v>0</v>
      </c>
      <c r="Z46" s="308">
        <f t="shared" si="100"/>
        <v>0</v>
      </c>
      <c r="AA46" s="313">
        <f>20000</f>
        <v>20000</v>
      </c>
      <c r="AB46" s="294">
        <v>6.6</v>
      </c>
      <c r="AC46" s="294">
        <f t="shared" si="113"/>
        <v>1320</v>
      </c>
      <c r="AD46" s="291">
        <f>'B.0.ConsumiblesMaquinaria'!$J$23</f>
        <v>1.6</v>
      </c>
      <c r="AE46" s="294">
        <f t="shared" si="102"/>
        <v>0</v>
      </c>
      <c r="AF46" s="295">
        <f>0.002038*AA46*1.05</f>
        <v>42.798000000000002</v>
      </c>
      <c r="AG46" s="294">
        <f t="shared" si="114"/>
        <v>4.8</v>
      </c>
      <c r="AH46" s="294">
        <f t="shared" si="103"/>
        <v>0</v>
      </c>
      <c r="AI46" s="306">
        <f t="shared" si="104"/>
        <v>0</v>
      </c>
      <c r="AJ46" s="306">
        <f t="shared" si="105"/>
        <v>0</v>
      </c>
      <c r="AK46" s="294">
        <v>0.14474999999999999</v>
      </c>
      <c r="AL46" s="294">
        <f t="shared" si="106"/>
        <v>0</v>
      </c>
      <c r="AM46" s="294">
        <f t="shared" si="107"/>
        <v>0</v>
      </c>
      <c r="AN46" s="294">
        <v>248</v>
      </c>
      <c r="AO46" s="294">
        <f t="shared" si="108"/>
        <v>0</v>
      </c>
      <c r="AP46" s="294">
        <f t="shared" si="109"/>
        <v>0</v>
      </c>
      <c r="AQ46" s="314">
        <f t="shared" si="110"/>
        <v>0</v>
      </c>
      <c r="AR46" s="538"/>
    </row>
    <row r="47" spans="1:44">
      <c r="A47" s="307">
        <v>0</v>
      </c>
      <c r="B47" s="293" t="s">
        <v>367</v>
      </c>
      <c r="C47" s="519" t="s">
        <v>321</v>
      </c>
      <c r="D47" s="293" t="s">
        <v>360</v>
      </c>
      <c r="E47" s="293" t="s">
        <v>368</v>
      </c>
      <c r="F47" s="293">
        <f t="shared" si="86"/>
        <v>2025</v>
      </c>
      <c r="G47" s="293">
        <f t="shared" si="87"/>
        <v>2025</v>
      </c>
      <c r="H47" s="293">
        <f t="shared" si="87"/>
        <v>2033</v>
      </c>
      <c r="I47" s="294">
        <v>25887.5</v>
      </c>
      <c r="J47" s="506">
        <f t="shared" si="88"/>
        <v>1</v>
      </c>
      <c r="K47" s="505">
        <f t="shared" si="89"/>
        <v>25887.5</v>
      </c>
      <c r="L47" s="306">
        <v>8</v>
      </c>
      <c r="M47" s="294">
        <f>H47-G47</f>
        <v>8</v>
      </c>
      <c r="N47" s="503">
        <v>800</v>
      </c>
      <c r="O47" s="294">
        <v>5</v>
      </c>
      <c r="P47" s="291">
        <f t="shared" si="90"/>
        <v>0</v>
      </c>
      <c r="Q47" s="291">
        <f t="shared" si="91"/>
        <v>0</v>
      </c>
      <c r="R47" s="291">
        <f t="shared" si="92"/>
        <v>0</v>
      </c>
      <c r="S47" s="291">
        <f t="shared" si="93"/>
        <v>0</v>
      </c>
      <c r="T47" s="436">
        <f t="shared" si="94"/>
        <v>0</v>
      </c>
      <c r="U47" s="306">
        <f t="shared" si="95"/>
        <v>0</v>
      </c>
      <c r="V47" s="436">
        <f t="shared" si="96"/>
        <v>0</v>
      </c>
      <c r="W47" s="291">
        <f t="shared" si="97"/>
        <v>0</v>
      </c>
      <c r="X47" s="426">
        <f t="shared" si="98"/>
        <v>0</v>
      </c>
      <c r="Y47" s="291">
        <f t="shared" si="99"/>
        <v>0</v>
      </c>
      <c r="Z47" s="308">
        <f t="shared" si="100"/>
        <v>0</v>
      </c>
      <c r="AA47" s="313">
        <f>20000</f>
        <v>20000</v>
      </c>
      <c r="AB47" s="294">
        <v>9.8000000000000007</v>
      </c>
      <c r="AC47" s="294">
        <f t="shared" si="113"/>
        <v>1960</v>
      </c>
      <c r="AD47" s="291">
        <f>'B.0.ConsumiblesMaquinaria'!$J$23</f>
        <v>1.6</v>
      </c>
      <c r="AE47" s="294">
        <f t="shared" si="102"/>
        <v>0</v>
      </c>
      <c r="AF47" s="295">
        <f>0.002038*AA47*1.05</f>
        <v>42.798000000000002</v>
      </c>
      <c r="AG47" s="294">
        <f t="shared" si="114"/>
        <v>4.8</v>
      </c>
      <c r="AH47" s="294">
        <f>IF(A47&gt;0,+ROUND(AG47*AF47/248,2),0)</f>
        <v>0</v>
      </c>
      <c r="AI47" s="306">
        <f t="shared" si="104"/>
        <v>0</v>
      </c>
      <c r="AJ47" s="306">
        <f t="shared" si="105"/>
        <v>0</v>
      </c>
      <c r="AK47" s="294">
        <v>0.10355</v>
      </c>
      <c r="AL47" s="294">
        <f t="shared" si="106"/>
        <v>0</v>
      </c>
      <c r="AM47" s="294">
        <f t="shared" si="107"/>
        <v>0</v>
      </c>
      <c r="AN47" s="294">
        <v>248</v>
      </c>
      <c r="AO47" s="294">
        <f t="shared" si="108"/>
        <v>0</v>
      </c>
      <c r="AP47" s="294">
        <f t="shared" si="109"/>
        <v>0</v>
      </c>
      <c r="AQ47" s="314">
        <f t="shared" si="110"/>
        <v>0</v>
      </c>
      <c r="AR47" s="538"/>
    </row>
    <row r="48" spans="1:44">
      <c r="A48" s="830" t="s">
        <v>369</v>
      </c>
      <c r="B48" s="831" t="s">
        <v>369</v>
      </c>
      <c r="C48" s="831"/>
      <c r="D48" s="93"/>
      <c r="E48" s="93"/>
      <c r="F48" s="93"/>
      <c r="G48" s="93"/>
      <c r="H48" s="93"/>
      <c r="I48" s="93"/>
      <c r="J48" s="93"/>
      <c r="K48" s="93"/>
      <c r="L48" s="93"/>
      <c r="M48" s="93"/>
      <c r="N48" s="93"/>
      <c r="O48" s="93"/>
      <c r="P48" s="93"/>
      <c r="Q48" s="93"/>
      <c r="R48" s="93"/>
      <c r="S48" s="93"/>
      <c r="T48" s="93"/>
      <c r="U48" s="93"/>
      <c r="V48" s="501">
        <v>0.125</v>
      </c>
      <c r="W48" s="93"/>
      <c r="X48" s="428"/>
      <c r="Y48" s="93"/>
      <c r="Z48" s="93"/>
      <c r="AA48" s="93"/>
      <c r="AB48" s="93"/>
      <c r="AC48" s="93"/>
      <c r="AD48" s="93"/>
      <c r="AE48" s="93"/>
      <c r="AF48" s="93"/>
      <c r="AG48" s="93"/>
      <c r="AH48" s="93"/>
      <c r="AI48" s="93"/>
      <c r="AJ48" s="93"/>
      <c r="AK48" s="93"/>
      <c r="AL48" s="93"/>
      <c r="AM48" s="93"/>
      <c r="AN48" s="93"/>
      <c r="AO48" s="93"/>
      <c r="AP48" s="93"/>
      <c r="AQ48" s="342"/>
      <c r="AR48" s="538"/>
    </row>
    <row r="49" spans="1:44">
      <c r="A49" s="307">
        <v>0</v>
      </c>
      <c r="B49" s="293" t="s">
        <v>1058</v>
      </c>
      <c r="C49" s="516" t="s">
        <v>1059</v>
      </c>
      <c r="D49" s="293" t="s">
        <v>322</v>
      </c>
      <c r="E49" s="293" t="s">
        <v>361</v>
      </c>
      <c r="F49" s="293">
        <v>2025</v>
      </c>
      <c r="G49" s="293">
        <v>2025</v>
      </c>
      <c r="H49" s="293">
        <v>2033</v>
      </c>
      <c r="I49" s="294">
        <v>22546</v>
      </c>
      <c r="J49" s="506">
        <f t="shared" ref="J49:J62" si="115">$J$6</f>
        <v>1</v>
      </c>
      <c r="K49" s="505">
        <f t="shared" ref="K49:K62" si="116">I49*J49</f>
        <v>22546</v>
      </c>
      <c r="L49" s="306">
        <v>8</v>
      </c>
      <c r="M49" s="294">
        <v>0</v>
      </c>
      <c r="N49" s="294"/>
      <c r="O49" s="294">
        <v>2</v>
      </c>
      <c r="P49" s="291">
        <f t="shared" ref="P49:P62" si="117">K49*A49</f>
        <v>0</v>
      </c>
      <c r="Q49" s="291">
        <f t="shared" ref="Q49:Q62" si="118">IF(A49&gt;0,K49/L49,0)</f>
        <v>0</v>
      </c>
      <c r="R49" s="291">
        <f t="shared" ref="R49:R62" si="119">Q49*A49</f>
        <v>0</v>
      </c>
      <c r="S49" s="291">
        <f t="shared" ref="S49:S62" si="120">IF(A49=0,0,PMT($S$6,L49,-K49)-Q49)</f>
        <v>0</v>
      </c>
      <c r="T49" s="436">
        <f t="shared" ref="T49:T62" si="121">S49*A49</f>
        <v>0</v>
      </c>
      <c r="U49" s="306">
        <f t="shared" ref="U49:U62" si="122">(S49+Q49)*A49</f>
        <v>0</v>
      </c>
      <c r="V49" s="436">
        <f t="shared" ref="V49:V62" si="123">Q49*V$6</f>
        <v>0</v>
      </c>
      <c r="W49" s="291">
        <f t="shared" ref="W49:W62" si="124">V49*A49</f>
        <v>0</v>
      </c>
      <c r="X49" s="426">
        <f t="shared" ref="X49:X62" si="125">Q49*(L49-(M49+(G49-F49)))</f>
        <v>0</v>
      </c>
      <c r="Y49" s="291">
        <f t="shared" ref="Y49:Y62" si="126">IF(A49&gt;0,(Q49+S49+V49),0)</f>
        <v>0</v>
      </c>
      <c r="Z49" s="308">
        <f t="shared" ref="Z49:Z62" si="127">(IF(A49&gt;0,(Q49+S49+V49),0)*A49)</f>
        <v>0</v>
      </c>
      <c r="AA49" s="313">
        <v>12000</v>
      </c>
      <c r="AB49" s="294">
        <v>16</v>
      </c>
      <c r="AC49" s="294">
        <f t="shared" ref="AC49:AC62" si="128">ROUND(AA49*AB49,2)/100</f>
        <v>1920</v>
      </c>
      <c r="AD49" s="291">
        <f>'B.0.ConsumiblesMaquinaria'!$J$26</f>
        <v>0.4</v>
      </c>
      <c r="AE49" s="294">
        <f t="shared" ref="AE49:AE62" si="129">IF(A49&gt;0,+ROUND(AD49*AC49/248,2),0)</f>
        <v>0</v>
      </c>
      <c r="AF49" s="295">
        <v>0</v>
      </c>
      <c r="AG49" s="294">
        <v>0</v>
      </c>
      <c r="AH49" s="294">
        <f t="shared" ref="AH49:AH62" si="130">IF(A49&gt;0,+ROUND(AG49*AF49/248,2),0)</f>
        <v>0</v>
      </c>
      <c r="AI49" s="306">
        <f t="shared" ref="AI49:AI62" si="131">AH49+AE49</f>
        <v>0</v>
      </c>
      <c r="AJ49" s="306">
        <f t="shared" ref="AJ49:AJ62" si="132">(AI49*AN49)*A49</f>
        <v>0</v>
      </c>
      <c r="AK49" s="294">
        <v>0.03</v>
      </c>
      <c r="AL49" s="294">
        <f t="shared" ref="AL49:AL62" si="133">(AK49*AN49)*A49</f>
        <v>0</v>
      </c>
      <c r="AM49" s="294">
        <f t="shared" ref="AM49:AM62" si="134">IF(A49&gt;0,+AH49+AE49+AK49,0)</f>
        <v>0</v>
      </c>
      <c r="AN49" s="294">
        <v>248</v>
      </c>
      <c r="AO49" s="294">
        <f t="shared" ref="AO49:AO62" si="135">AM49*AN49</f>
        <v>0</v>
      </c>
      <c r="AP49" s="294">
        <f t="shared" ref="AP49:AP62" si="136">AO49*A49</f>
        <v>0</v>
      </c>
      <c r="AQ49" s="314">
        <f t="shared" ref="AQ49:AQ62" si="137">Z49+AP49</f>
        <v>0</v>
      </c>
      <c r="AR49" s="538"/>
    </row>
    <row r="50" spans="1:44">
      <c r="A50" s="307">
        <v>1</v>
      </c>
      <c r="B50" s="293" t="s">
        <v>1060</v>
      </c>
      <c r="C50" s="516" t="s">
        <v>1059</v>
      </c>
      <c r="D50" s="293" t="s">
        <v>322</v>
      </c>
      <c r="E50" s="293" t="s">
        <v>361</v>
      </c>
      <c r="F50" s="293">
        <v>2025</v>
      </c>
      <c r="G50" s="293">
        <v>2025</v>
      </c>
      <c r="H50" s="293">
        <v>2033</v>
      </c>
      <c r="I50" s="294">
        <v>30766</v>
      </c>
      <c r="J50" s="506">
        <f t="shared" si="115"/>
        <v>1</v>
      </c>
      <c r="K50" s="505">
        <f t="shared" si="116"/>
        <v>30766</v>
      </c>
      <c r="L50" s="306">
        <v>8</v>
      </c>
      <c r="M50" s="294">
        <v>0</v>
      </c>
      <c r="N50" s="294"/>
      <c r="O50" s="294">
        <v>2</v>
      </c>
      <c r="P50" s="291">
        <f t="shared" si="117"/>
        <v>30766</v>
      </c>
      <c r="Q50" s="291">
        <f t="shared" si="118"/>
        <v>3845.75</v>
      </c>
      <c r="R50" s="291">
        <f t="shared" si="119"/>
        <v>3845.75</v>
      </c>
      <c r="S50" s="291">
        <f t="shared" si="120"/>
        <v>991.68613120610826</v>
      </c>
      <c r="T50" s="436">
        <f t="shared" si="121"/>
        <v>991.68613120610826</v>
      </c>
      <c r="U50" s="306">
        <f t="shared" si="122"/>
        <v>4837.4361312061083</v>
      </c>
      <c r="V50" s="436">
        <f t="shared" si="123"/>
        <v>480.71875</v>
      </c>
      <c r="W50" s="291">
        <f t="shared" si="124"/>
        <v>480.71875</v>
      </c>
      <c r="X50" s="426">
        <f t="shared" si="125"/>
        <v>30766</v>
      </c>
      <c r="Y50" s="291">
        <f t="shared" si="126"/>
        <v>5318.1548812061083</v>
      </c>
      <c r="Z50" s="308">
        <f t="shared" si="127"/>
        <v>5318.1548812061083</v>
      </c>
      <c r="AA50" s="313">
        <v>12000</v>
      </c>
      <c r="AB50" s="294">
        <v>16</v>
      </c>
      <c r="AC50" s="294">
        <f t="shared" si="128"/>
        <v>1920</v>
      </c>
      <c r="AD50" s="291">
        <f>'B.0.ConsumiblesMaquinaria'!$J$26</f>
        <v>0.4</v>
      </c>
      <c r="AE50" s="294">
        <f t="shared" si="129"/>
        <v>3.1</v>
      </c>
      <c r="AF50" s="295">
        <v>0</v>
      </c>
      <c r="AG50" s="294">
        <v>0</v>
      </c>
      <c r="AH50" s="294">
        <f t="shared" si="130"/>
        <v>0</v>
      </c>
      <c r="AI50" s="306">
        <f t="shared" si="131"/>
        <v>3.1</v>
      </c>
      <c r="AJ50" s="306">
        <f t="shared" si="132"/>
        <v>768.80000000000007</v>
      </c>
      <c r="AK50" s="294">
        <v>0.03</v>
      </c>
      <c r="AL50" s="294">
        <f t="shared" si="133"/>
        <v>7.4399999999999995</v>
      </c>
      <c r="AM50" s="294">
        <f t="shared" si="134"/>
        <v>3.13</v>
      </c>
      <c r="AN50" s="294">
        <v>248</v>
      </c>
      <c r="AO50" s="294">
        <f t="shared" si="135"/>
        <v>776.24</v>
      </c>
      <c r="AP50" s="294">
        <f t="shared" si="136"/>
        <v>776.24</v>
      </c>
      <c r="AQ50" s="314">
        <f t="shared" si="137"/>
        <v>6094.394881206108</v>
      </c>
      <c r="AR50" s="538"/>
    </row>
    <row r="51" spans="1:44" ht="28.8">
      <c r="A51" s="307">
        <v>0</v>
      </c>
      <c r="B51" s="293" t="s">
        <v>1061</v>
      </c>
      <c r="C51" s="516" t="s">
        <v>1062</v>
      </c>
      <c r="D51" s="293" t="s">
        <v>322</v>
      </c>
      <c r="E51" s="293" t="s">
        <v>1063</v>
      </c>
      <c r="F51" s="293">
        <v>2025</v>
      </c>
      <c r="G51" s="293">
        <v>2025</v>
      </c>
      <c r="H51" s="293">
        <v>2033</v>
      </c>
      <c r="I51" s="294">
        <v>40800</v>
      </c>
      <c r="J51" s="506">
        <f t="shared" si="115"/>
        <v>1</v>
      </c>
      <c r="K51" s="505">
        <f t="shared" si="116"/>
        <v>40800</v>
      </c>
      <c r="L51" s="306">
        <v>8</v>
      </c>
      <c r="M51" s="294">
        <v>0</v>
      </c>
      <c r="N51" s="294"/>
      <c r="O51" s="294">
        <v>4</v>
      </c>
      <c r="P51" s="291">
        <f t="shared" si="117"/>
        <v>0</v>
      </c>
      <c r="Q51" s="291">
        <f t="shared" si="118"/>
        <v>0</v>
      </c>
      <c r="R51" s="291">
        <f t="shared" si="119"/>
        <v>0</v>
      </c>
      <c r="S51" s="291">
        <f t="shared" si="120"/>
        <v>0</v>
      </c>
      <c r="T51" s="436">
        <f t="shared" si="121"/>
        <v>0</v>
      </c>
      <c r="U51" s="306">
        <f t="shared" si="122"/>
        <v>0</v>
      </c>
      <c r="V51" s="436">
        <f t="shared" si="123"/>
        <v>0</v>
      </c>
      <c r="W51" s="291">
        <f t="shared" si="124"/>
        <v>0</v>
      </c>
      <c r="X51" s="426">
        <f t="shared" si="125"/>
        <v>0</v>
      </c>
      <c r="Y51" s="291">
        <f t="shared" si="126"/>
        <v>0</v>
      </c>
      <c r="Z51" s="308">
        <f t="shared" si="127"/>
        <v>0</v>
      </c>
      <c r="AA51" s="313">
        <v>10000</v>
      </c>
      <c r="AB51" s="294">
        <v>16</v>
      </c>
      <c r="AC51" s="294">
        <f t="shared" si="128"/>
        <v>1600</v>
      </c>
      <c r="AD51" s="291">
        <f>'B.0.ConsumiblesMaquinaria'!$J$26</f>
        <v>0.4</v>
      </c>
      <c r="AE51" s="294">
        <f t="shared" si="129"/>
        <v>0</v>
      </c>
      <c r="AF51" s="295">
        <v>0</v>
      </c>
      <c r="AG51" s="294">
        <v>0</v>
      </c>
      <c r="AH51" s="294">
        <f t="shared" si="130"/>
        <v>0</v>
      </c>
      <c r="AI51" s="306">
        <f t="shared" si="131"/>
        <v>0</v>
      </c>
      <c r="AJ51" s="306">
        <f t="shared" si="132"/>
        <v>0</v>
      </c>
      <c r="AK51" s="294">
        <v>0.15</v>
      </c>
      <c r="AL51" s="294">
        <f t="shared" si="133"/>
        <v>0</v>
      </c>
      <c r="AM51" s="294">
        <f t="shared" si="134"/>
        <v>0</v>
      </c>
      <c r="AN51" s="294">
        <v>248</v>
      </c>
      <c r="AO51" s="294">
        <f t="shared" si="135"/>
        <v>0</v>
      </c>
      <c r="AP51" s="294">
        <f t="shared" si="136"/>
        <v>0</v>
      </c>
      <c r="AQ51" s="314">
        <f t="shared" si="137"/>
        <v>0</v>
      </c>
      <c r="AR51" s="538"/>
    </row>
    <row r="52" spans="1:44">
      <c r="A52" s="307">
        <v>0</v>
      </c>
      <c r="B52" s="293" t="s">
        <v>1064</v>
      </c>
      <c r="C52" s="516" t="s">
        <v>1062</v>
      </c>
      <c r="D52" s="293" t="s">
        <v>322</v>
      </c>
      <c r="E52" s="293" t="s">
        <v>1065</v>
      </c>
      <c r="F52" s="293">
        <v>2025</v>
      </c>
      <c r="G52" s="293">
        <v>2025</v>
      </c>
      <c r="H52" s="293">
        <v>2033</v>
      </c>
      <c r="I52" s="294">
        <v>40326</v>
      </c>
      <c r="J52" s="506">
        <f t="shared" si="115"/>
        <v>1</v>
      </c>
      <c r="K52" s="505">
        <f t="shared" si="116"/>
        <v>40326</v>
      </c>
      <c r="L52" s="306">
        <v>8</v>
      </c>
      <c r="M52" s="294">
        <v>0</v>
      </c>
      <c r="N52" s="294"/>
      <c r="O52" s="294">
        <v>2</v>
      </c>
      <c r="P52" s="291">
        <f t="shared" si="117"/>
        <v>0</v>
      </c>
      <c r="Q52" s="291">
        <f t="shared" si="118"/>
        <v>0</v>
      </c>
      <c r="R52" s="291">
        <f t="shared" si="119"/>
        <v>0</v>
      </c>
      <c r="S52" s="291">
        <f t="shared" si="120"/>
        <v>0</v>
      </c>
      <c r="T52" s="436">
        <f t="shared" si="121"/>
        <v>0</v>
      </c>
      <c r="U52" s="306">
        <f t="shared" si="122"/>
        <v>0</v>
      </c>
      <c r="V52" s="436">
        <f t="shared" si="123"/>
        <v>0</v>
      </c>
      <c r="W52" s="291">
        <f t="shared" si="124"/>
        <v>0</v>
      </c>
      <c r="X52" s="426">
        <f t="shared" si="125"/>
        <v>0</v>
      </c>
      <c r="Y52" s="291">
        <f t="shared" si="126"/>
        <v>0</v>
      </c>
      <c r="Z52" s="308">
        <f t="shared" si="127"/>
        <v>0</v>
      </c>
      <c r="AA52" s="313">
        <v>15000</v>
      </c>
      <c r="AB52" s="294">
        <v>16</v>
      </c>
      <c r="AC52" s="294">
        <f t="shared" si="128"/>
        <v>2400</v>
      </c>
      <c r="AD52" s="291">
        <f>'B.0.ConsumiblesMaquinaria'!$J$26</f>
        <v>0.4</v>
      </c>
      <c r="AE52" s="294">
        <f t="shared" si="129"/>
        <v>0</v>
      </c>
      <c r="AF52" s="295">
        <v>0</v>
      </c>
      <c r="AG52" s="294">
        <v>0</v>
      </c>
      <c r="AH52" s="294">
        <f t="shared" si="130"/>
        <v>0</v>
      </c>
      <c r="AI52" s="306">
        <f t="shared" si="131"/>
        <v>0</v>
      </c>
      <c r="AJ52" s="306">
        <f t="shared" si="132"/>
        <v>0</v>
      </c>
      <c r="AK52" s="294">
        <v>0.15</v>
      </c>
      <c r="AL52" s="294">
        <f t="shared" si="133"/>
        <v>0</v>
      </c>
      <c r="AM52" s="294">
        <f t="shared" si="134"/>
        <v>0</v>
      </c>
      <c r="AN52" s="294">
        <v>248</v>
      </c>
      <c r="AO52" s="294">
        <f t="shared" si="135"/>
        <v>0</v>
      </c>
      <c r="AP52" s="294">
        <f t="shared" si="136"/>
        <v>0</v>
      </c>
      <c r="AQ52" s="314">
        <f t="shared" si="137"/>
        <v>0</v>
      </c>
      <c r="AR52" s="538"/>
    </row>
    <row r="53" spans="1:44" ht="28.8">
      <c r="A53" s="307">
        <v>0</v>
      </c>
      <c r="B53" s="293" t="s">
        <v>1066</v>
      </c>
      <c r="C53" s="516" t="s">
        <v>1062</v>
      </c>
      <c r="D53" s="293" t="s">
        <v>371</v>
      </c>
      <c r="E53" s="293" t="s">
        <v>381</v>
      </c>
      <c r="F53" s="293">
        <v>2025</v>
      </c>
      <c r="G53" s="293">
        <v>2025</v>
      </c>
      <c r="H53" s="293">
        <v>2033</v>
      </c>
      <c r="I53" s="294">
        <v>65177</v>
      </c>
      <c r="J53" s="506">
        <f t="shared" si="115"/>
        <v>1</v>
      </c>
      <c r="K53" s="505">
        <f t="shared" si="116"/>
        <v>65177</v>
      </c>
      <c r="L53" s="306">
        <v>8</v>
      </c>
      <c r="M53" s="294">
        <v>0</v>
      </c>
      <c r="N53" s="294"/>
      <c r="O53" s="294">
        <v>2</v>
      </c>
      <c r="P53" s="291">
        <f t="shared" si="117"/>
        <v>0</v>
      </c>
      <c r="Q53" s="291">
        <f t="shared" si="118"/>
        <v>0</v>
      </c>
      <c r="R53" s="291">
        <f t="shared" si="119"/>
        <v>0</v>
      </c>
      <c r="S53" s="291">
        <f t="shared" si="120"/>
        <v>0</v>
      </c>
      <c r="T53" s="436">
        <f t="shared" si="121"/>
        <v>0</v>
      </c>
      <c r="U53" s="306">
        <f t="shared" si="122"/>
        <v>0</v>
      </c>
      <c r="V53" s="436">
        <f t="shared" si="123"/>
        <v>0</v>
      </c>
      <c r="W53" s="291">
        <f t="shared" si="124"/>
        <v>0</v>
      </c>
      <c r="X53" s="426">
        <f t="shared" si="125"/>
        <v>0</v>
      </c>
      <c r="Y53" s="291">
        <f t="shared" si="126"/>
        <v>0</v>
      </c>
      <c r="Z53" s="308">
        <f t="shared" si="127"/>
        <v>0</v>
      </c>
      <c r="AA53" s="313">
        <v>10000</v>
      </c>
      <c r="AB53" s="294">
        <v>16</v>
      </c>
      <c r="AC53" s="294">
        <f t="shared" si="128"/>
        <v>1600</v>
      </c>
      <c r="AD53" s="291">
        <f>'B.0.ConsumiblesMaquinaria'!$J$26</f>
        <v>0.4</v>
      </c>
      <c r="AE53" s="294">
        <f t="shared" si="129"/>
        <v>0</v>
      </c>
      <c r="AF53" s="295">
        <v>0</v>
      </c>
      <c r="AG53" s="294">
        <v>0</v>
      </c>
      <c r="AH53" s="294">
        <f t="shared" si="130"/>
        <v>0</v>
      </c>
      <c r="AI53" s="306">
        <f t="shared" si="131"/>
        <v>0</v>
      </c>
      <c r="AJ53" s="306">
        <f t="shared" si="132"/>
        <v>0</v>
      </c>
      <c r="AK53" s="294">
        <v>0.19</v>
      </c>
      <c r="AL53" s="294">
        <f t="shared" si="133"/>
        <v>0</v>
      </c>
      <c r="AM53" s="294">
        <f t="shared" si="134"/>
        <v>0</v>
      </c>
      <c r="AN53" s="294">
        <v>248</v>
      </c>
      <c r="AO53" s="294">
        <f t="shared" si="135"/>
        <v>0</v>
      </c>
      <c r="AP53" s="294">
        <f t="shared" si="136"/>
        <v>0</v>
      </c>
      <c r="AQ53" s="314">
        <f t="shared" si="137"/>
        <v>0</v>
      </c>
      <c r="AR53" s="538"/>
    </row>
    <row r="54" spans="1:44">
      <c r="A54" s="307">
        <v>0</v>
      </c>
      <c r="B54" s="293" t="s">
        <v>372</v>
      </c>
      <c r="C54" s="516" t="s">
        <v>341</v>
      </c>
      <c r="D54" s="293" t="s">
        <v>322</v>
      </c>
      <c r="E54" s="293" t="s">
        <v>342</v>
      </c>
      <c r="F54" s="293">
        <f t="shared" ref="F54:F62" si="138">G54</f>
        <v>2025</v>
      </c>
      <c r="G54" s="293">
        <v>2025</v>
      </c>
      <c r="H54" s="293">
        <v>2033</v>
      </c>
      <c r="I54" s="294">
        <v>36250</v>
      </c>
      <c r="J54" s="506">
        <f t="shared" si="115"/>
        <v>1</v>
      </c>
      <c r="K54" s="505">
        <f t="shared" si="116"/>
        <v>36250</v>
      </c>
      <c r="L54" s="306">
        <v>8</v>
      </c>
      <c r="M54" s="294">
        <f>H54-G54</f>
        <v>8</v>
      </c>
      <c r="N54" s="294"/>
      <c r="O54" s="294">
        <v>4</v>
      </c>
      <c r="P54" s="291">
        <f t="shared" si="117"/>
        <v>0</v>
      </c>
      <c r="Q54" s="291">
        <f t="shared" si="118"/>
        <v>0</v>
      </c>
      <c r="R54" s="291">
        <f t="shared" si="119"/>
        <v>0</v>
      </c>
      <c r="S54" s="291">
        <f t="shared" si="120"/>
        <v>0</v>
      </c>
      <c r="T54" s="436">
        <f t="shared" si="121"/>
        <v>0</v>
      </c>
      <c r="U54" s="306">
        <f t="shared" si="122"/>
        <v>0</v>
      </c>
      <c r="V54" s="436">
        <f t="shared" si="123"/>
        <v>0</v>
      </c>
      <c r="W54" s="291">
        <f t="shared" si="124"/>
        <v>0</v>
      </c>
      <c r="X54" s="426">
        <f t="shared" si="125"/>
        <v>0</v>
      </c>
      <c r="Y54" s="291">
        <f t="shared" si="126"/>
        <v>0</v>
      </c>
      <c r="Z54" s="308">
        <f t="shared" si="127"/>
        <v>0</v>
      </c>
      <c r="AA54" s="313">
        <v>10000</v>
      </c>
      <c r="AB54" s="294">
        <v>0</v>
      </c>
      <c r="AC54" s="294">
        <f t="shared" si="128"/>
        <v>0</v>
      </c>
      <c r="AD54" s="291">
        <f>'B.0.ConsumiblesMaquinaria'!$J$26</f>
        <v>0.4</v>
      </c>
      <c r="AE54" s="294">
        <f t="shared" si="129"/>
        <v>0</v>
      </c>
      <c r="AF54" s="295">
        <f>0.003038*AA54*0.7</f>
        <v>21.265999999999998</v>
      </c>
      <c r="AG54" s="294">
        <f t="shared" ref="AG54:AG62" si="139">AG$5</f>
        <v>4.8</v>
      </c>
      <c r="AH54" s="294">
        <f t="shared" si="130"/>
        <v>0</v>
      </c>
      <c r="AI54" s="306">
        <f t="shared" si="131"/>
        <v>0</v>
      </c>
      <c r="AJ54" s="306">
        <f t="shared" si="132"/>
        <v>0</v>
      </c>
      <c r="AK54" s="294">
        <v>0.14499999999999999</v>
      </c>
      <c r="AL54" s="294">
        <f t="shared" si="133"/>
        <v>0</v>
      </c>
      <c r="AM54" s="294">
        <f t="shared" si="134"/>
        <v>0</v>
      </c>
      <c r="AN54" s="294">
        <v>248</v>
      </c>
      <c r="AO54" s="294">
        <f t="shared" si="135"/>
        <v>0</v>
      </c>
      <c r="AP54" s="294">
        <f t="shared" si="136"/>
        <v>0</v>
      </c>
      <c r="AQ54" s="314">
        <f t="shared" si="137"/>
        <v>0</v>
      </c>
      <c r="AR54" s="538"/>
    </row>
    <row r="55" spans="1:44">
      <c r="A55" s="307">
        <v>0</v>
      </c>
      <c r="B55" s="293" t="s">
        <v>370</v>
      </c>
      <c r="C55" s="517" t="s">
        <v>373</v>
      </c>
      <c r="D55" s="293" t="s">
        <v>322</v>
      </c>
      <c r="E55" s="293" t="s">
        <v>374</v>
      </c>
      <c r="F55" s="293">
        <f t="shared" si="138"/>
        <v>2025</v>
      </c>
      <c r="G55" s="293">
        <v>2025</v>
      </c>
      <c r="H55" s="293">
        <v>2033</v>
      </c>
      <c r="I55" s="294">
        <v>15125</v>
      </c>
      <c r="J55" s="506">
        <f t="shared" si="115"/>
        <v>1</v>
      </c>
      <c r="K55" s="505">
        <f t="shared" si="116"/>
        <v>15125</v>
      </c>
      <c r="L55" s="306">
        <v>8</v>
      </c>
      <c r="M55" s="294">
        <f>H55-G55</f>
        <v>8</v>
      </c>
      <c r="N55" s="294"/>
      <c r="O55" s="294">
        <v>2</v>
      </c>
      <c r="P55" s="291">
        <f t="shared" si="117"/>
        <v>0</v>
      </c>
      <c r="Q55" s="291">
        <f t="shared" si="118"/>
        <v>0</v>
      </c>
      <c r="R55" s="291">
        <f t="shared" si="119"/>
        <v>0</v>
      </c>
      <c r="S55" s="291">
        <f t="shared" si="120"/>
        <v>0</v>
      </c>
      <c r="T55" s="436">
        <f t="shared" si="121"/>
        <v>0</v>
      </c>
      <c r="U55" s="306">
        <f t="shared" si="122"/>
        <v>0</v>
      </c>
      <c r="V55" s="436">
        <f t="shared" si="123"/>
        <v>0</v>
      </c>
      <c r="W55" s="291">
        <f t="shared" si="124"/>
        <v>0</v>
      </c>
      <c r="X55" s="426">
        <f t="shared" si="125"/>
        <v>0</v>
      </c>
      <c r="Y55" s="291">
        <f t="shared" si="126"/>
        <v>0</v>
      </c>
      <c r="Z55" s="308">
        <f t="shared" si="127"/>
        <v>0</v>
      </c>
      <c r="AA55" s="313">
        <f>25000</f>
        <v>25000</v>
      </c>
      <c r="AB55" s="294">
        <v>15</v>
      </c>
      <c r="AC55" s="294">
        <f t="shared" si="128"/>
        <v>3750</v>
      </c>
      <c r="AD55" s="291">
        <f>'B.0.ConsumiblesMaquinaria'!$J$27</f>
        <v>0.99</v>
      </c>
      <c r="AE55" s="294">
        <f t="shared" si="129"/>
        <v>0</v>
      </c>
      <c r="AF55" s="295">
        <f>0.003038*AA55*1.05</f>
        <v>79.747500000000002</v>
      </c>
      <c r="AG55" s="294">
        <f t="shared" si="139"/>
        <v>4.8</v>
      </c>
      <c r="AH55" s="294">
        <f t="shared" si="130"/>
        <v>0</v>
      </c>
      <c r="AI55" s="306">
        <f t="shared" si="131"/>
        <v>0</v>
      </c>
      <c r="AJ55" s="306">
        <f t="shared" si="132"/>
        <v>0</v>
      </c>
      <c r="AK55" s="294">
        <v>6.0499999999999998E-2</v>
      </c>
      <c r="AL55" s="294">
        <f t="shared" si="133"/>
        <v>0</v>
      </c>
      <c r="AM55" s="294">
        <f t="shared" si="134"/>
        <v>0</v>
      </c>
      <c r="AN55" s="294">
        <v>248</v>
      </c>
      <c r="AO55" s="294">
        <f t="shared" si="135"/>
        <v>0</v>
      </c>
      <c r="AP55" s="294">
        <f t="shared" si="136"/>
        <v>0</v>
      </c>
      <c r="AQ55" s="314">
        <f t="shared" si="137"/>
        <v>0</v>
      </c>
      <c r="AR55" s="538"/>
    </row>
    <row r="56" spans="1:44">
      <c r="A56" s="307">
        <v>0</v>
      </c>
      <c r="B56" s="293" t="s">
        <v>375</v>
      </c>
      <c r="C56" s="517" t="s">
        <v>373</v>
      </c>
      <c r="D56" s="293" t="s">
        <v>322</v>
      </c>
      <c r="E56" s="293" t="s">
        <v>374</v>
      </c>
      <c r="F56" s="293">
        <f t="shared" si="138"/>
        <v>2025</v>
      </c>
      <c r="G56" s="293">
        <v>2025</v>
      </c>
      <c r="H56" s="293">
        <v>2033</v>
      </c>
      <c r="I56" s="294">
        <v>15125</v>
      </c>
      <c r="J56" s="506">
        <f t="shared" si="115"/>
        <v>1</v>
      </c>
      <c r="K56" s="505">
        <f t="shared" si="116"/>
        <v>15125</v>
      </c>
      <c r="L56" s="306">
        <v>8</v>
      </c>
      <c r="M56" s="294">
        <f>H56-G56</f>
        <v>8</v>
      </c>
      <c r="N56" s="294"/>
      <c r="O56" s="294">
        <v>2</v>
      </c>
      <c r="P56" s="291">
        <f t="shared" si="117"/>
        <v>0</v>
      </c>
      <c r="Q56" s="291">
        <f t="shared" si="118"/>
        <v>0</v>
      </c>
      <c r="R56" s="291">
        <f t="shared" si="119"/>
        <v>0</v>
      </c>
      <c r="S56" s="291">
        <f t="shared" si="120"/>
        <v>0</v>
      </c>
      <c r="T56" s="436">
        <f t="shared" si="121"/>
        <v>0</v>
      </c>
      <c r="U56" s="306">
        <f t="shared" si="122"/>
        <v>0</v>
      </c>
      <c r="V56" s="436">
        <f t="shared" si="123"/>
        <v>0</v>
      </c>
      <c r="W56" s="291">
        <f t="shared" si="124"/>
        <v>0</v>
      </c>
      <c r="X56" s="426">
        <f t="shared" si="125"/>
        <v>0</v>
      </c>
      <c r="Y56" s="291">
        <f t="shared" si="126"/>
        <v>0</v>
      </c>
      <c r="Z56" s="308">
        <f t="shared" si="127"/>
        <v>0</v>
      </c>
      <c r="AA56" s="313">
        <f>25000</f>
        <v>25000</v>
      </c>
      <c r="AB56" s="294">
        <v>15</v>
      </c>
      <c r="AC56" s="294">
        <f t="shared" si="128"/>
        <v>3750</v>
      </c>
      <c r="AD56" s="291">
        <f>'B.0.ConsumiblesMaquinaria'!$J$27</f>
        <v>0.99</v>
      </c>
      <c r="AE56" s="294">
        <f t="shared" si="129"/>
        <v>0</v>
      </c>
      <c r="AF56" s="295">
        <f>0.003038*AA56*1.05</f>
        <v>79.747500000000002</v>
      </c>
      <c r="AG56" s="294">
        <f t="shared" si="139"/>
        <v>4.8</v>
      </c>
      <c r="AH56" s="294">
        <f t="shared" si="130"/>
        <v>0</v>
      </c>
      <c r="AI56" s="306">
        <f t="shared" si="131"/>
        <v>0</v>
      </c>
      <c r="AJ56" s="306">
        <f t="shared" si="132"/>
        <v>0</v>
      </c>
      <c r="AK56" s="294">
        <v>6.0499999999999998E-2</v>
      </c>
      <c r="AL56" s="294">
        <f t="shared" si="133"/>
        <v>0</v>
      </c>
      <c r="AM56" s="294">
        <f t="shared" si="134"/>
        <v>0</v>
      </c>
      <c r="AN56" s="294">
        <v>248</v>
      </c>
      <c r="AO56" s="294">
        <f t="shared" si="135"/>
        <v>0</v>
      </c>
      <c r="AP56" s="294">
        <f t="shared" si="136"/>
        <v>0</v>
      </c>
      <c r="AQ56" s="314">
        <f t="shared" si="137"/>
        <v>0</v>
      </c>
      <c r="AR56" s="538"/>
    </row>
    <row r="57" spans="1:44">
      <c r="A57" s="307">
        <v>0</v>
      </c>
      <c r="B57" s="293" t="s">
        <v>1067</v>
      </c>
      <c r="C57" s="516" t="s">
        <v>1062</v>
      </c>
      <c r="D57" s="293" t="s">
        <v>371</v>
      </c>
      <c r="E57" s="293" t="s">
        <v>381</v>
      </c>
      <c r="F57" s="293">
        <v>2025</v>
      </c>
      <c r="G57" s="293">
        <v>2025</v>
      </c>
      <c r="H57" s="293">
        <v>2033</v>
      </c>
      <c r="I57" s="294">
        <v>229810</v>
      </c>
      <c r="J57" s="506">
        <f t="shared" si="115"/>
        <v>1</v>
      </c>
      <c r="K57" s="505">
        <f t="shared" si="116"/>
        <v>229810</v>
      </c>
      <c r="L57" s="306">
        <v>8</v>
      </c>
      <c r="M57" s="294">
        <v>0</v>
      </c>
      <c r="N57" s="294"/>
      <c r="O57" s="294">
        <v>2</v>
      </c>
      <c r="P57" s="291">
        <f t="shared" si="117"/>
        <v>0</v>
      </c>
      <c r="Q57" s="291">
        <f t="shared" si="118"/>
        <v>0</v>
      </c>
      <c r="R57" s="291">
        <f t="shared" si="119"/>
        <v>0</v>
      </c>
      <c r="S57" s="291">
        <f t="shared" si="120"/>
        <v>0</v>
      </c>
      <c r="T57" s="436">
        <f t="shared" si="121"/>
        <v>0</v>
      </c>
      <c r="U57" s="306">
        <f t="shared" si="122"/>
        <v>0</v>
      </c>
      <c r="V57" s="436">
        <f t="shared" si="123"/>
        <v>0</v>
      </c>
      <c r="W57" s="291">
        <f t="shared" si="124"/>
        <v>0</v>
      </c>
      <c r="X57" s="426">
        <f t="shared" si="125"/>
        <v>0</v>
      </c>
      <c r="Y57" s="291">
        <f t="shared" si="126"/>
        <v>0</v>
      </c>
      <c r="Z57" s="308">
        <f t="shared" si="127"/>
        <v>0</v>
      </c>
      <c r="AA57" s="313">
        <v>10000</v>
      </c>
      <c r="AB57" s="294">
        <v>16</v>
      </c>
      <c r="AC57" s="294">
        <f t="shared" si="128"/>
        <v>1600</v>
      </c>
      <c r="AD57" s="291">
        <f>'B.0.ConsumiblesMaquinaria'!$J$26</f>
        <v>0.4</v>
      </c>
      <c r="AE57" s="294">
        <f t="shared" si="129"/>
        <v>0</v>
      </c>
      <c r="AF57" s="295">
        <v>0</v>
      </c>
      <c r="AG57" s="294">
        <v>0</v>
      </c>
      <c r="AH57" s="294">
        <f t="shared" si="130"/>
        <v>0</v>
      </c>
      <c r="AI57" s="306">
        <f t="shared" si="131"/>
        <v>0</v>
      </c>
      <c r="AJ57" s="306">
        <f t="shared" si="132"/>
        <v>0</v>
      </c>
      <c r="AK57" s="294">
        <v>0.19</v>
      </c>
      <c r="AL57" s="294">
        <f t="shared" si="133"/>
        <v>0</v>
      </c>
      <c r="AM57" s="294">
        <f t="shared" si="134"/>
        <v>0</v>
      </c>
      <c r="AN57" s="294">
        <v>248</v>
      </c>
      <c r="AO57" s="294">
        <f t="shared" si="135"/>
        <v>0</v>
      </c>
      <c r="AP57" s="294">
        <f t="shared" si="136"/>
        <v>0</v>
      </c>
      <c r="AQ57" s="314">
        <f t="shared" si="137"/>
        <v>0</v>
      </c>
      <c r="AR57" s="538"/>
    </row>
    <row r="58" spans="1:44">
      <c r="A58" s="307">
        <v>0</v>
      </c>
      <c r="B58" s="293" t="s">
        <v>376</v>
      </c>
      <c r="C58" s="519" t="s">
        <v>321</v>
      </c>
      <c r="D58" s="293" t="s">
        <v>377</v>
      </c>
      <c r="E58" s="293" t="s">
        <v>378</v>
      </c>
      <c r="F58" s="293">
        <f t="shared" si="138"/>
        <v>2025</v>
      </c>
      <c r="G58" s="293">
        <v>2025</v>
      </c>
      <c r="H58" s="293">
        <v>2033</v>
      </c>
      <c r="I58" s="294">
        <v>62500</v>
      </c>
      <c r="J58" s="506">
        <f t="shared" si="115"/>
        <v>1</v>
      </c>
      <c r="K58" s="505">
        <f t="shared" si="116"/>
        <v>62500</v>
      </c>
      <c r="L58" s="306">
        <v>8</v>
      </c>
      <c r="M58" s="294">
        <f>H58-G58</f>
        <v>8</v>
      </c>
      <c r="N58" s="294"/>
      <c r="O58" s="294">
        <v>3</v>
      </c>
      <c r="P58" s="291">
        <f t="shared" si="117"/>
        <v>0</v>
      </c>
      <c r="Q58" s="291">
        <f t="shared" si="118"/>
        <v>0</v>
      </c>
      <c r="R58" s="291">
        <f t="shared" si="119"/>
        <v>0</v>
      </c>
      <c r="S58" s="291">
        <f t="shared" si="120"/>
        <v>0</v>
      </c>
      <c r="T58" s="436">
        <f t="shared" si="121"/>
        <v>0</v>
      </c>
      <c r="U58" s="306">
        <f t="shared" si="122"/>
        <v>0</v>
      </c>
      <c r="V58" s="436">
        <f t="shared" si="123"/>
        <v>0</v>
      </c>
      <c r="W58" s="291">
        <f t="shared" si="124"/>
        <v>0</v>
      </c>
      <c r="X58" s="426">
        <f t="shared" si="125"/>
        <v>0</v>
      </c>
      <c r="Y58" s="291">
        <f t="shared" si="126"/>
        <v>0</v>
      </c>
      <c r="Z58" s="308">
        <f t="shared" si="127"/>
        <v>0</v>
      </c>
      <c r="AA58" s="313">
        <f>12000</f>
        <v>12000</v>
      </c>
      <c r="AB58" s="294">
        <v>15</v>
      </c>
      <c r="AC58" s="294">
        <f t="shared" si="128"/>
        <v>1800</v>
      </c>
      <c r="AD58" s="291">
        <f>'B.0.ConsumiblesMaquinaria'!$J$23</f>
        <v>1.6</v>
      </c>
      <c r="AE58" s="294">
        <f t="shared" si="129"/>
        <v>0</v>
      </c>
      <c r="AF58" s="295">
        <f>0.003338*AA58*1.07</f>
        <v>42.859920000000002</v>
      </c>
      <c r="AG58" s="294">
        <f t="shared" si="139"/>
        <v>4.8</v>
      </c>
      <c r="AH58" s="294">
        <f t="shared" si="130"/>
        <v>0</v>
      </c>
      <c r="AI58" s="306">
        <f t="shared" si="131"/>
        <v>0</v>
      </c>
      <c r="AJ58" s="306">
        <f t="shared" si="132"/>
        <v>0</v>
      </c>
      <c r="AK58" s="294">
        <v>0.25</v>
      </c>
      <c r="AL58" s="294">
        <f t="shared" si="133"/>
        <v>0</v>
      </c>
      <c r="AM58" s="294">
        <f t="shared" si="134"/>
        <v>0</v>
      </c>
      <c r="AN58" s="294">
        <v>248</v>
      </c>
      <c r="AO58" s="294">
        <f t="shared" si="135"/>
        <v>0</v>
      </c>
      <c r="AP58" s="294">
        <f t="shared" si="136"/>
        <v>0</v>
      </c>
      <c r="AQ58" s="314">
        <f t="shared" si="137"/>
        <v>0</v>
      </c>
      <c r="AR58" s="538"/>
    </row>
    <row r="59" spans="1:44">
      <c r="A59" s="307">
        <v>3</v>
      </c>
      <c r="B59" s="293" t="s">
        <v>1068</v>
      </c>
      <c r="C59" s="517" t="s">
        <v>1044</v>
      </c>
      <c r="D59" s="293" t="s">
        <v>377</v>
      </c>
      <c r="E59" s="293" t="s">
        <v>378</v>
      </c>
      <c r="F59" s="293">
        <v>2025</v>
      </c>
      <c r="G59" s="293">
        <v>2025</v>
      </c>
      <c r="H59" s="293">
        <v>2033</v>
      </c>
      <c r="I59" s="294">
        <v>65500</v>
      </c>
      <c r="J59" s="506">
        <f t="shared" si="115"/>
        <v>1</v>
      </c>
      <c r="K59" s="505">
        <f t="shared" si="116"/>
        <v>65500</v>
      </c>
      <c r="L59" s="306">
        <v>8</v>
      </c>
      <c r="M59" s="294">
        <v>0</v>
      </c>
      <c r="N59" s="294"/>
      <c r="O59" s="294">
        <v>3</v>
      </c>
      <c r="P59" s="291">
        <f t="shared" si="117"/>
        <v>196500</v>
      </c>
      <c r="Q59" s="291">
        <f t="shared" si="118"/>
        <v>8187.5</v>
      </c>
      <c r="R59" s="291">
        <f t="shared" si="119"/>
        <v>24562.5</v>
      </c>
      <c r="S59" s="291">
        <f t="shared" si="120"/>
        <v>2111.2735355262321</v>
      </c>
      <c r="T59" s="436">
        <f t="shared" si="121"/>
        <v>6333.8206065786962</v>
      </c>
      <c r="U59" s="306">
        <f t="shared" si="122"/>
        <v>30896.320606578694</v>
      </c>
      <c r="V59" s="436">
        <f t="shared" si="123"/>
        <v>1023.4375</v>
      </c>
      <c r="W59" s="291">
        <f t="shared" si="124"/>
        <v>3070.3125</v>
      </c>
      <c r="X59" s="426">
        <f t="shared" si="125"/>
        <v>65500</v>
      </c>
      <c r="Y59" s="291">
        <f t="shared" si="126"/>
        <v>11322.211035526232</v>
      </c>
      <c r="Z59" s="308">
        <f t="shared" si="127"/>
        <v>33966.633106578694</v>
      </c>
      <c r="AA59" s="313">
        <v>12000</v>
      </c>
      <c r="AB59" s="294">
        <v>15</v>
      </c>
      <c r="AC59" s="294">
        <f t="shared" si="128"/>
        <v>1800</v>
      </c>
      <c r="AD59" s="291">
        <f>'B.0.ConsumiblesMaquinaria'!$J$27</f>
        <v>0.99</v>
      </c>
      <c r="AE59" s="294">
        <f t="shared" si="129"/>
        <v>7.19</v>
      </c>
      <c r="AF59" s="295">
        <v>42.86</v>
      </c>
      <c r="AG59" s="294">
        <v>4.8</v>
      </c>
      <c r="AH59" s="294">
        <f t="shared" si="130"/>
        <v>0.83</v>
      </c>
      <c r="AI59" s="306">
        <f t="shared" si="131"/>
        <v>8.02</v>
      </c>
      <c r="AJ59" s="306">
        <f t="shared" si="132"/>
        <v>5966.8799999999992</v>
      </c>
      <c r="AK59" s="294">
        <v>0.25</v>
      </c>
      <c r="AL59" s="294">
        <f t="shared" si="133"/>
        <v>186</v>
      </c>
      <c r="AM59" s="294">
        <f t="shared" si="134"/>
        <v>8.27</v>
      </c>
      <c r="AN59" s="294">
        <v>248</v>
      </c>
      <c r="AO59" s="294">
        <f t="shared" si="135"/>
        <v>2050.96</v>
      </c>
      <c r="AP59" s="294">
        <f t="shared" si="136"/>
        <v>6152.88</v>
      </c>
      <c r="AQ59" s="314">
        <f t="shared" si="137"/>
        <v>40119.513106578692</v>
      </c>
      <c r="AR59" s="538"/>
    </row>
    <row r="60" spans="1:44" ht="28.8">
      <c r="A60" s="307">
        <v>0</v>
      </c>
      <c r="B60" s="293" t="s">
        <v>370</v>
      </c>
      <c r="C60" s="522" t="s">
        <v>355</v>
      </c>
      <c r="D60" s="293" t="s">
        <v>379</v>
      </c>
      <c r="E60" s="293" t="s">
        <v>380</v>
      </c>
      <c r="F60" s="293">
        <f t="shared" si="138"/>
        <v>2025</v>
      </c>
      <c r="G60" s="293">
        <v>2025</v>
      </c>
      <c r="H60" s="293">
        <v>2033</v>
      </c>
      <c r="I60" s="294">
        <v>50000</v>
      </c>
      <c r="J60" s="506">
        <f t="shared" si="115"/>
        <v>1</v>
      </c>
      <c r="K60" s="505">
        <f t="shared" si="116"/>
        <v>50000</v>
      </c>
      <c r="L60" s="306">
        <v>8</v>
      </c>
      <c r="M60" s="294">
        <f>H60-G60</f>
        <v>8</v>
      </c>
      <c r="N60" s="294"/>
      <c r="O60" s="294">
        <v>2</v>
      </c>
      <c r="P60" s="291">
        <f t="shared" si="117"/>
        <v>0</v>
      </c>
      <c r="Q60" s="291">
        <f t="shared" si="118"/>
        <v>0</v>
      </c>
      <c r="R60" s="291">
        <f t="shared" si="119"/>
        <v>0</v>
      </c>
      <c r="S60" s="291">
        <f t="shared" si="120"/>
        <v>0</v>
      </c>
      <c r="T60" s="436">
        <f t="shared" si="121"/>
        <v>0</v>
      </c>
      <c r="U60" s="306">
        <f t="shared" si="122"/>
        <v>0</v>
      </c>
      <c r="V60" s="436">
        <f t="shared" si="123"/>
        <v>0</v>
      </c>
      <c r="W60" s="291">
        <f t="shared" si="124"/>
        <v>0</v>
      </c>
      <c r="X60" s="426">
        <f t="shared" si="125"/>
        <v>0</v>
      </c>
      <c r="Y60" s="291">
        <f t="shared" si="126"/>
        <v>0</v>
      </c>
      <c r="Z60" s="308">
        <f t="shared" si="127"/>
        <v>0</v>
      </c>
      <c r="AA60" s="313">
        <f>15000</f>
        <v>15000</v>
      </c>
      <c r="AB60" s="294"/>
      <c r="AC60" s="294">
        <f t="shared" si="128"/>
        <v>0</v>
      </c>
      <c r="AD60" s="294">
        <f>'B.0.ConsumiblesMaquinaria'!$J$22</f>
        <v>1.7</v>
      </c>
      <c r="AE60" s="294">
        <f t="shared" si="129"/>
        <v>0</v>
      </c>
      <c r="AF60" s="295">
        <f>0.003038*AA60*0.7</f>
        <v>31.898999999999997</v>
      </c>
      <c r="AG60" s="294">
        <f t="shared" si="139"/>
        <v>4.8</v>
      </c>
      <c r="AH60" s="294">
        <f t="shared" si="130"/>
        <v>0</v>
      </c>
      <c r="AI60" s="306">
        <f t="shared" si="131"/>
        <v>0</v>
      </c>
      <c r="AJ60" s="306">
        <f t="shared" si="132"/>
        <v>0</v>
      </c>
      <c r="AK60" s="294">
        <v>0.2</v>
      </c>
      <c r="AL60" s="294">
        <f t="shared" si="133"/>
        <v>0</v>
      </c>
      <c r="AM60" s="294">
        <f t="shared" si="134"/>
        <v>0</v>
      </c>
      <c r="AN60" s="294">
        <v>248</v>
      </c>
      <c r="AO60" s="294">
        <f t="shared" si="135"/>
        <v>0</v>
      </c>
      <c r="AP60" s="294">
        <f t="shared" si="136"/>
        <v>0</v>
      </c>
      <c r="AQ60" s="314">
        <f t="shared" si="137"/>
        <v>0</v>
      </c>
      <c r="AR60" s="538"/>
    </row>
    <row r="61" spans="1:44">
      <c r="A61" s="307">
        <v>0</v>
      </c>
      <c r="B61" s="293" t="s">
        <v>370</v>
      </c>
      <c r="C61" s="522" t="s">
        <v>355</v>
      </c>
      <c r="D61" s="293" t="s">
        <v>322</v>
      </c>
      <c r="E61" s="293" t="s">
        <v>374</v>
      </c>
      <c r="F61" s="293">
        <f t="shared" si="138"/>
        <v>2025</v>
      </c>
      <c r="G61" s="293">
        <v>2025</v>
      </c>
      <c r="H61" s="293">
        <v>2033</v>
      </c>
      <c r="I61" s="294">
        <v>12500</v>
      </c>
      <c r="J61" s="506">
        <f t="shared" si="115"/>
        <v>1</v>
      </c>
      <c r="K61" s="505">
        <f t="shared" si="116"/>
        <v>12500</v>
      </c>
      <c r="L61" s="306">
        <v>8</v>
      </c>
      <c r="M61" s="294">
        <f>H61-G61</f>
        <v>8</v>
      </c>
      <c r="N61" s="294"/>
      <c r="O61" s="294">
        <v>2</v>
      </c>
      <c r="P61" s="291">
        <f t="shared" si="117"/>
        <v>0</v>
      </c>
      <c r="Q61" s="291">
        <f t="shared" si="118"/>
        <v>0</v>
      </c>
      <c r="R61" s="291">
        <f t="shared" si="119"/>
        <v>0</v>
      </c>
      <c r="S61" s="291">
        <f t="shared" si="120"/>
        <v>0</v>
      </c>
      <c r="T61" s="436">
        <f t="shared" si="121"/>
        <v>0</v>
      </c>
      <c r="U61" s="306">
        <f t="shared" si="122"/>
        <v>0</v>
      </c>
      <c r="V61" s="436">
        <f t="shared" si="123"/>
        <v>0</v>
      </c>
      <c r="W61" s="291">
        <f t="shared" si="124"/>
        <v>0</v>
      </c>
      <c r="X61" s="426">
        <f t="shared" si="125"/>
        <v>0</v>
      </c>
      <c r="Y61" s="291">
        <f t="shared" si="126"/>
        <v>0</v>
      </c>
      <c r="Z61" s="308">
        <f t="shared" si="127"/>
        <v>0</v>
      </c>
      <c r="AA61" s="313">
        <f>25000</f>
        <v>25000</v>
      </c>
      <c r="AB61" s="294">
        <v>8.6</v>
      </c>
      <c r="AC61" s="294">
        <f t="shared" si="128"/>
        <v>2150</v>
      </c>
      <c r="AD61" s="294">
        <f>'B.0.ConsumiblesMaquinaria'!$J$22</f>
        <v>1.7</v>
      </c>
      <c r="AE61" s="294">
        <f t="shared" si="129"/>
        <v>0</v>
      </c>
      <c r="AF61" s="295">
        <f>0.003038*AA61*1.05</f>
        <v>79.747500000000002</v>
      </c>
      <c r="AG61" s="294">
        <f t="shared" si="139"/>
        <v>4.8</v>
      </c>
      <c r="AH61" s="294">
        <f t="shared" si="130"/>
        <v>0</v>
      </c>
      <c r="AI61" s="306">
        <f t="shared" si="131"/>
        <v>0</v>
      </c>
      <c r="AJ61" s="306">
        <f t="shared" si="132"/>
        <v>0</v>
      </c>
      <c r="AK61" s="294">
        <v>0.05</v>
      </c>
      <c r="AL61" s="294">
        <f t="shared" si="133"/>
        <v>0</v>
      </c>
      <c r="AM61" s="294">
        <f t="shared" si="134"/>
        <v>0</v>
      </c>
      <c r="AN61" s="294">
        <v>248</v>
      </c>
      <c r="AO61" s="294">
        <f t="shared" si="135"/>
        <v>0</v>
      </c>
      <c r="AP61" s="294">
        <f t="shared" si="136"/>
        <v>0</v>
      </c>
      <c r="AQ61" s="314">
        <f t="shared" si="137"/>
        <v>0</v>
      </c>
      <c r="AR61" s="538"/>
    </row>
    <row r="62" spans="1:44">
      <c r="A62" s="307">
        <v>0</v>
      </c>
      <c r="B62" s="293" t="s">
        <v>375</v>
      </c>
      <c r="C62" s="522" t="s">
        <v>355</v>
      </c>
      <c r="D62" s="293" t="s">
        <v>322</v>
      </c>
      <c r="E62" s="293" t="s">
        <v>381</v>
      </c>
      <c r="F62" s="293">
        <f t="shared" si="138"/>
        <v>2025</v>
      </c>
      <c r="G62" s="293">
        <v>2025</v>
      </c>
      <c r="H62" s="293">
        <v>2033</v>
      </c>
      <c r="I62" s="294">
        <v>43750</v>
      </c>
      <c r="J62" s="506">
        <f t="shared" si="115"/>
        <v>1</v>
      </c>
      <c r="K62" s="505">
        <f t="shared" si="116"/>
        <v>43750</v>
      </c>
      <c r="L62" s="306">
        <v>8</v>
      </c>
      <c r="M62" s="294">
        <f>H62-G62</f>
        <v>8</v>
      </c>
      <c r="N62" s="294"/>
      <c r="O62" s="294">
        <v>2</v>
      </c>
      <c r="P62" s="291">
        <f t="shared" si="117"/>
        <v>0</v>
      </c>
      <c r="Q62" s="291">
        <f t="shared" si="118"/>
        <v>0</v>
      </c>
      <c r="R62" s="291">
        <f t="shared" si="119"/>
        <v>0</v>
      </c>
      <c r="S62" s="291">
        <f t="shared" si="120"/>
        <v>0</v>
      </c>
      <c r="T62" s="436">
        <f t="shared" si="121"/>
        <v>0</v>
      </c>
      <c r="U62" s="306">
        <f t="shared" si="122"/>
        <v>0</v>
      </c>
      <c r="V62" s="436">
        <f t="shared" si="123"/>
        <v>0</v>
      </c>
      <c r="W62" s="291">
        <f t="shared" si="124"/>
        <v>0</v>
      </c>
      <c r="X62" s="426">
        <f t="shared" si="125"/>
        <v>0</v>
      </c>
      <c r="Y62" s="291">
        <f t="shared" si="126"/>
        <v>0</v>
      </c>
      <c r="Z62" s="308">
        <f t="shared" si="127"/>
        <v>0</v>
      </c>
      <c r="AA62" s="313">
        <f>25000</f>
        <v>25000</v>
      </c>
      <c r="AB62" s="294">
        <v>8</v>
      </c>
      <c r="AC62" s="294">
        <f t="shared" si="128"/>
        <v>2000</v>
      </c>
      <c r="AD62" s="294">
        <f>'B.0.ConsumiblesMaquinaria'!$J$22</f>
        <v>1.7</v>
      </c>
      <c r="AE62" s="294">
        <f t="shared" si="129"/>
        <v>0</v>
      </c>
      <c r="AF62" s="295">
        <f>0.002038*AA62*1.02</f>
        <v>51.968999999999994</v>
      </c>
      <c r="AG62" s="294">
        <f t="shared" si="139"/>
        <v>4.8</v>
      </c>
      <c r="AH62" s="294">
        <f t="shared" si="130"/>
        <v>0</v>
      </c>
      <c r="AI62" s="306">
        <f t="shared" si="131"/>
        <v>0</v>
      </c>
      <c r="AJ62" s="306">
        <f t="shared" si="132"/>
        <v>0</v>
      </c>
      <c r="AK62" s="294">
        <v>0.17499999999999999</v>
      </c>
      <c r="AL62" s="294">
        <f t="shared" si="133"/>
        <v>0</v>
      </c>
      <c r="AM62" s="294">
        <f t="shared" si="134"/>
        <v>0</v>
      </c>
      <c r="AN62" s="294">
        <v>248</v>
      </c>
      <c r="AO62" s="294">
        <f t="shared" si="135"/>
        <v>0</v>
      </c>
      <c r="AP62" s="294">
        <f t="shared" si="136"/>
        <v>0</v>
      </c>
      <c r="AQ62" s="314">
        <f t="shared" si="137"/>
        <v>0</v>
      </c>
      <c r="AR62" s="538"/>
    </row>
    <row r="63" spans="1:44" ht="6.75" customHeight="1">
      <c r="A63" s="352"/>
      <c r="AQ63" s="353"/>
    </row>
    <row r="64" spans="1:44">
      <c r="A64" s="474" t="s">
        <v>382</v>
      </c>
      <c r="B64" s="472"/>
      <c r="C64" s="472"/>
      <c r="D64" s="472"/>
      <c r="E64" s="472"/>
      <c r="F64" s="472"/>
      <c r="G64" s="472"/>
      <c r="H64" s="472"/>
      <c r="I64" s="472"/>
      <c r="J64" s="472"/>
      <c r="K64" s="472"/>
      <c r="L64" s="472"/>
      <c r="M64" s="472"/>
      <c r="N64" s="472"/>
      <c r="O64" s="472"/>
      <c r="P64" s="472"/>
      <c r="Q64" s="472"/>
      <c r="R64" s="472"/>
      <c r="S64" s="472"/>
      <c r="T64" s="472"/>
      <c r="U64" s="472"/>
      <c r="V64" s="472"/>
      <c r="W64" s="472"/>
      <c r="X64" s="472"/>
      <c r="Y64" s="472"/>
      <c r="Z64" s="472"/>
      <c r="AA64" s="472"/>
      <c r="AB64" s="472"/>
      <c r="AC64" s="472"/>
      <c r="AD64" s="472"/>
      <c r="AE64" s="472"/>
      <c r="AF64" s="472"/>
      <c r="AG64" s="472"/>
      <c r="AH64" s="472"/>
      <c r="AI64" s="472"/>
      <c r="AJ64" s="472"/>
      <c r="AK64" s="472"/>
      <c r="AL64" s="472"/>
      <c r="AM64" s="472"/>
      <c r="AN64" s="472"/>
      <c r="AO64" s="472"/>
      <c r="AP64" s="472"/>
      <c r="AQ64" s="473">
        <f>SUM(AQ8:AQ62)</f>
        <v>371090.0287120631</v>
      </c>
    </row>
    <row r="66" spans="2:38">
      <c r="H66" s="438" t="s">
        <v>1022</v>
      </c>
      <c r="I66" s="435"/>
      <c r="J66" s="435"/>
      <c r="K66" s="435"/>
      <c r="L66" s="435"/>
      <c r="M66" s="435"/>
      <c r="N66" s="435"/>
      <c r="O66" s="435"/>
      <c r="P66" s="430">
        <f>SUM(P8:P62)</f>
        <v>1708283.75</v>
      </c>
    </row>
    <row r="67" spans="2:38">
      <c r="I67" s="438" t="s">
        <v>998</v>
      </c>
      <c r="J67" s="438"/>
      <c r="K67" s="438"/>
      <c r="L67" s="435"/>
      <c r="M67" s="435"/>
      <c r="N67" s="435"/>
      <c r="O67" s="435"/>
      <c r="P67" s="429"/>
      <c r="Q67" s="429"/>
      <c r="R67" s="430">
        <f>SUM(R8:R62)</f>
        <v>213535.46875</v>
      </c>
    </row>
    <row r="68" spans="2:38">
      <c r="M68" s="438" t="s">
        <v>999</v>
      </c>
      <c r="N68" s="435"/>
      <c r="O68" s="435"/>
      <c r="P68" s="435"/>
      <c r="Q68" s="435"/>
      <c r="R68" s="429"/>
      <c r="S68" s="429"/>
      <c r="T68" s="430">
        <f>SUM(T6:T62)</f>
        <v>55063.424008313144</v>
      </c>
    </row>
    <row r="69" spans="2:38">
      <c r="N69" s="829" t="s">
        <v>960</v>
      </c>
      <c r="O69" s="829"/>
      <c r="P69" s="829"/>
      <c r="Q69" s="829"/>
      <c r="R69" s="435"/>
      <c r="S69" s="429"/>
      <c r="T69" s="429"/>
      <c r="U69" s="430">
        <f>SUM(U8:U62)</f>
        <v>268598.89275831322</v>
      </c>
      <c r="AF69" s="829" t="s">
        <v>957</v>
      </c>
      <c r="AG69" s="829"/>
      <c r="AH69" s="829"/>
      <c r="AI69" s="829"/>
      <c r="AJ69" s="430">
        <f>SUM(AJ7:AJ62)</f>
        <v>74365.279999999999</v>
      </c>
    </row>
    <row r="70" spans="2:38">
      <c r="Q70" s="829" t="s">
        <v>964</v>
      </c>
      <c r="R70" s="829"/>
      <c r="S70" s="829"/>
      <c r="T70" s="829"/>
      <c r="U70" s="829"/>
      <c r="V70" s="829"/>
      <c r="W70" s="430">
        <f>SUM(W8:W62)</f>
        <v>26691.93359375</v>
      </c>
      <c r="AH70" s="829" t="s">
        <v>967</v>
      </c>
      <c r="AI70" s="829"/>
      <c r="AJ70" s="829"/>
      <c r="AK70" s="829"/>
      <c r="AL70" s="430">
        <f>SUM(AL7:AL62)</f>
        <v>1433.92236</v>
      </c>
    </row>
    <row r="73" spans="2:38" ht="30" customHeight="1"/>
    <row r="76" spans="2:38">
      <c r="B76" s="834" t="s">
        <v>950</v>
      </c>
      <c r="C76" s="834"/>
      <c r="D76" s="834"/>
      <c r="E76" s="834"/>
      <c r="F76" s="834"/>
      <c r="G76" s="834"/>
      <c r="H76" s="834"/>
    </row>
    <row r="77" spans="2:38">
      <c r="B77" s="827" t="s">
        <v>951</v>
      </c>
      <c r="C77" s="827"/>
      <c r="D77" s="827"/>
      <c r="E77" s="827"/>
      <c r="F77" s="827"/>
      <c r="G77" s="827"/>
      <c r="H77" s="827"/>
    </row>
    <row r="78" spans="2:38">
      <c r="B78" s="828" t="s">
        <v>952</v>
      </c>
      <c r="C78" s="828"/>
      <c r="D78" s="828"/>
      <c r="E78" s="828"/>
      <c r="F78" s="828"/>
      <c r="G78" s="828"/>
      <c r="H78" s="828"/>
    </row>
    <row r="79" spans="2:38" ht="20.25" customHeight="1">
      <c r="B79" s="828"/>
      <c r="C79" s="828"/>
      <c r="D79" s="828"/>
      <c r="E79" s="828"/>
      <c r="F79" s="828"/>
      <c r="G79" s="828"/>
      <c r="H79" s="828"/>
    </row>
  </sheetData>
  <mergeCells count="27">
    <mergeCell ref="AF69:AI69"/>
    <mergeCell ref="Q70:V70"/>
    <mergeCell ref="AK3:AL3"/>
    <mergeCell ref="AH70:AK70"/>
    <mergeCell ref="B76:H76"/>
    <mergeCell ref="AA3:AA4"/>
    <mergeCell ref="P2:Z3"/>
    <mergeCell ref="A2:O3"/>
    <mergeCell ref="AI3:AI4"/>
    <mergeCell ref="AJ3:AJ4"/>
    <mergeCell ref="B77:H77"/>
    <mergeCell ref="B78:H79"/>
    <mergeCell ref="N69:Q69"/>
    <mergeCell ref="A25:C25"/>
    <mergeCell ref="A35:C35"/>
    <mergeCell ref="A39:C39"/>
    <mergeCell ref="A48:C48"/>
    <mergeCell ref="A1:AQ1"/>
    <mergeCell ref="AB3:AE3"/>
    <mergeCell ref="AF3:AH3"/>
    <mergeCell ref="A6:C6"/>
    <mergeCell ref="AM3:AM4"/>
    <mergeCell ref="AQ2:AQ5"/>
    <mergeCell ref="AO3:AO4"/>
    <mergeCell ref="AA2:AP2"/>
    <mergeCell ref="AP3:AP4"/>
    <mergeCell ref="AN3:AN4"/>
  </mergeCells>
  <conditionalFormatting sqref="P7:Z24">
    <cfRule type="cellIs" dxfId="27" priority="15" operator="equal">
      <formula>0</formula>
    </cfRule>
  </conditionalFormatting>
  <conditionalFormatting sqref="P26:Z34">
    <cfRule type="cellIs" dxfId="26" priority="30" operator="equal">
      <formula>0</formula>
    </cfRule>
  </conditionalFormatting>
  <conditionalFormatting sqref="P36:Z38">
    <cfRule type="cellIs" dxfId="25" priority="23" operator="equal">
      <formula>0</formula>
    </cfRule>
  </conditionalFormatting>
  <conditionalFormatting sqref="P40:Z47">
    <cfRule type="cellIs" dxfId="24" priority="25" operator="equal">
      <formula>0</formula>
    </cfRule>
  </conditionalFormatting>
  <conditionalFormatting sqref="P49:Z62">
    <cfRule type="cellIs" dxfId="23" priority="37" operator="equal">
      <formula>0</formula>
    </cfRule>
  </conditionalFormatting>
  <conditionalFormatting sqref="AB7:AQ62">
    <cfRule type="cellIs" dxfId="22" priority="2" operator="equal">
      <formula>0</formula>
    </cfRule>
  </conditionalFormatting>
  <conditionalFormatting sqref="AQ7:AQ25 AQ35 AQ39 AQ48">
    <cfRule type="cellIs" dxfId="21" priority="59" operator="equal">
      <formula>0</formula>
    </cfRule>
  </conditionalFormatting>
  <conditionalFormatting sqref="AQ27:AQ29">
    <cfRule type="cellIs" dxfId="20" priority="32" operator="equal">
      <formula>0</formula>
    </cfRule>
  </conditionalFormatting>
  <hyperlinks>
    <hyperlink ref="B77" r:id="rId1" display="https://www.boe.es/buscar/act.php?id=BOE-A-2004-14600" xr:uid="{00000000-0004-0000-1300-000000000000}"/>
    <hyperlink ref="B78" r:id="rId2" display="http://www.lexnavarra.navarra.es/detalle.asp?r=38307" xr:uid="{00000000-0004-0000-1300-000001000000}"/>
  </hyperlinks>
  <pageMargins left="0.70866141732283505" right="0.70866141732283505" top="0.74803149606299202" bottom="0.74803149606299202" header="0.31496062992126" footer="0.31496062992126"/>
  <pageSetup paperSize="8" scale="48" orientation="landscape" r:id="rId3"/>
  <rowBreaks count="1" manualBreakCount="1">
    <brk id="38" max="16383" man="1"/>
  </rowBreaks>
  <colBreaks count="1" manualBreakCount="1">
    <brk id="26"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41CEB-0AE2-4FFF-930C-1D7E61E47329}">
  <sheetPr>
    <tabColor theme="3" tint="0.39991454817346722"/>
  </sheetPr>
  <dimension ref="B2:I19"/>
  <sheetViews>
    <sheetView zoomScale="140" zoomScaleNormal="140" workbookViewId="0">
      <selection activeCell="C16" sqref="C16"/>
    </sheetView>
  </sheetViews>
  <sheetFormatPr baseColWidth="10" defaultRowHeight="13.2"/>
  <cols>
    <col min="1" max="1" width="2.6640625" customWidth="1"/>
    <col min="2" max="2" width="23.44140625" bestFit="1" customWidth="1"/>
    <col min="3" max="3" width="22.77734375" customWidth="1"/>
    <col min="4" max="4" width="20.21875" customWidth="1"/>
    <col min="5" max="5" width="68.44140625" customWidth="1"/>
    <col min="6" max="6" width="16.88671875" customWidth="1"/>
  </cols>
  <sheetData>
    <row r="2" spans="2:9" ht="14.4">
      <c r="B2" s="896" t="s">
        <v>1131</v>
      </c>
      <c r="C2" s="897"/>
      <c r="D2" s="897"/>
      <c r="E2" s="897"/>
      <c r="F2" s="897"/>
    </row>
    <row r="3" spans="2:9" ht="14.4">
      <c r="B3" s="351" t="s">
        <v>1086</v>
      </c>
      <c r="C3" s="351" t="s">
        <v>289</v>
      </c>
      <c r="D3" s="351" t="s">
        <v>1087</v>
      </c>
      <c r="E3" s="351" t="s">
        <v>1088</v>
      </c>
      <c r="F3" s="351" t="s">
        <v>1089</v>
      </c>
    </row>
    <row r="4" spans="2:9" ht="28.8" customHeight="1">
      <c r="B4" s="892" t="s">
        <v>1121</v>
      </c>
      <c r="C4" s="518" t="s">
        <v>1090</v>
      </c>
      <c r="D4" s="290" t="s">
        <v>1091</v>
      </c>
      <c r="E4" s="891" t="s">
        <v>1122</v>
      </c>
      <c r="F4" s="894" t="s">
        <v>1092</v>
      </c>
      <c r="H4" s="898" t="s">
        <v>1132</v>
      </c>
      <c r="I4" s="899"/>
    </row>
    <row r="5" spans="2:9" ht="28.8">
      <c r="B5" s="893"/>
      <c r="C5" s="514" t="s">
        <v>1044</v>
      </c>
      <c r="D5" s="290" t="s">
        <v>1093</v>
      </c>
      <c r="E5" s="891" t="s">
        <v>1122</v>
      </c>
      <c r="F5" s="895" t="s">
        <v>1094</v>
      </c>
      <c r="H5" s="900"/>
      <c r="I5" s="901"/>
    </row>
    <row r="6" spans="2:9" ht="28.8" customHeight="1">
      <c r="B6" s="892" t="s">
        <v>1138</v>
      </c>
      <c r="C6" s="518" t="s">
        <v>1090</v>
      </c>
      <c r="D6" s="290" t="s">
        <v>1095</v>
      </c>
      <c r="E6" s="891" t="s">
        <v>1123</v>
      </c>
      <c r="F6" s="894" t="s">
        <v>1096</v>
      </c>
      <c r="H6" s="902"/>
      <c r="I6" s="903"/>
    </row>
    <row r="7" spans="2:9" ht="28.8">
      <c r="B7" s="893"/>
      <c r="C7" s="514" t="s">
        <v>1044</v>
      </c>
      <c r="D7" s="290" t="s">
        <v>1097</v>
      </c>
      <c r="E7" s="891" t="s">
        <v>1124</v>
      </c>
      <c r="F7" s="895" t="s">
        <v>1098</v>
      </c>
    </row>
    <row r="8" spans="2:9" ht="43.2">
      <c r="B8" s="892" t="s">
        <v>1139</v>
      </c>
      <c r="C8" s="518" t="s">
        <v>1090</v>
      </c>
      <c r="D8" s="290" t="s">
        <v>1099</v>
      </c>
      <c r="E8" s="891" t="s">
        <v>1125</v>
      </c>
      <c r="F8" s="894" t="s">
        <v>1100</v>
      </c>
    </row>
    <row r="9" spans="2:9" ht="43.2">
      <c r="B9" s="893"/>
      <c r="C9" s="514" t="s">
        <v>1044</v>
      </c>
      <c r="D9" s="290" t="s">
        <v>1101</v>
      </c>
      <c r="E9" s="891" t="s">
        <v>1125</v>
      </c>
      <c r="F9" s="895" t="s">
        <v>1102</v>
      </c>
    </row>
    <row r="10" spans="2:9" ht="43.2">
      <c r="B10" s="892" t="s">
        <v>1140</v>
      </c>
      <c r="C10" s="518" t="s">
        <v>1090</v>
      </c>
      <c r="D10" s="290" t="s">
        <v>1103</v>
      </c>
      <c r="E10" s="891" t="s">
        <v>1127</v>
      </c>
      <c r="F10" s="894" t="s">
        <v>1104</v>
      </c>
    </row>
    <row r="11" spans="2:9" ht="43.2">
      <c r="B11" s="893"/>
      <c r="C11" s="514" t="s">
        <v>1044</v>
      </c>
      <c r="D11" s="290" t="s">
        <v>1105</v>
      </c>
      <c r="E11" s="891" t="s">
        <v>1127</v>
      </c>
      <c r="F11" s="895" t="s">
        <v>1106</v>
      </c>
    </row>
    <row r="12" spans="2:9" ht="43.2">
      <c r="B12" s="892" t="s">
        <v>1141</v>
      </c>
      <c r="C12" s="518" t="s">
        <v>1090</v>
      </c>
      <c r="D12" s="290" t="s">
        <v>1107</v>
      </c>
      <c r="E12" s="891" t="s">
        <v>1128</v>
      </c>
      <c r="F12" s="894" t="s">
        <v>1108</v>
      </c>
    </row>
    <row r="13" spans="2:9" ht="43.2">
      <c r="B13" s="893"/>
      <c r="C13" s="514" t="s">
        <v>1044</v>
      </c>
      <c r="D13" s="290" t="s">
        <v>1109</v>
      </c>
      <c r="E13" s="891" t="s">
        <v>1128</v>
      </c>
      <c r="F13" s="895" t="s">
        <v>1110</v>
      </c>
    </row>
    <row r="14" spans="2:9" ht="43.2">
      <c r="B14" s="892" t="s">
        <v>1142</v>
      </c>
      <c r="C14" s="518" t="s">
        <v>1090</v>
      </c>
      <c r="D14" s="290" t="s">
        <v>1107</v>
      </c>
      <c r="E14" s="891" t="s">
        <v>1128</v>
      </c>
      <c r="F14" s="894" t="s">
        <v>1111</v>
      </c>
    </row>
    <row r="15" spans="2:9" ht="43.2">
      <c r="B15" s="893"/>
      <c r="C15" s="514" t="s">
        <v>1044</v>
      </c>
      <c r="D15" s="290" t="s">
        <v>1109</v>
      </c>
      <c r="E15" s="891" t="s">
        <v>1128</v>
      </c>
      <c r="F15" s="895" t="s">
        <v>1112</v>
      </c>
    </row>
    <row r="16" spans="2:9" ht="43.2">
      <c r="B16" s="892" t="s">
        <v>1136</v>
      </c>
      <c r="C16" s="518" t="s">
        <v>1090</v>
      </c>
      <c r="D16" s="290" t="s">
        <v>1113</v>
      </c>
      <c r="E16" s="891" t="s">
        <v>1129</v>
      </c>
      <c r="F16" s="894" t="s">
        <v>1114</v>
      </c>
    </row>
    <row r="17" spans="2:6" ht="43.2">
      <c r="B17" s="893"/>
      <c r="C17" s="514" t="s">
        <v>1044</v>
      </c>
      <c r="D17" s="290" t="s">
        <v>1115</v>
      </c>
      <c r="E17" s="891" t="s">
        <v>1129</v>
      </c>
      <c r="F17" s="895" t="s">
        <v>1116</v>
      </c>
    </row>
    <row r="18" spans="2:6" ht="43.2">
      <c r="B18" s="892" t="s">
        <v>1137</v>
      </c>
      <c r="C18" s="518" t="s">
        <v>1090</v>
      </c>
      <c r="D18" s="290" t="s">
        <v>1117</v>
      </c>
      <c r="E18" s="891" t="s">
        <v>1126</v>
      </c>
      <c r="F18" s="894" t="s">
        <v>1118</v>
      </c>
    </row>
    <row r="19" spans="2:6" ht="43.2">
      <c r="B19" s="893"/>
      <c r="C19" s="514" t="s">
        <v>1044</v>
      </c>
      <c r="D19" s="290" t="s">
        <v>1119</v>
      </c>
      <c r="E19" s="891" t="s">
        <v>1126</v>
      </c>
      <c r="F19" s="895" t="s">
        <v>1120</v>
      </c>
    </row>
  </sheetData>
  <mergeCells count="10">
    <mergeCell ref="H4:I6"/>
    <mergeCell ref="B16:B17"/>
    <mergeCell ref="B18:B19"/>
    <mergeCell ref="B2:F2"/>
    <mergeCell ref="B4:B5"/>
    <mergeCell ref="B6:B7"/>
    <mergeCell ref="B8:B9"/>
    <mergeCell ref="B10:B11"/>
    <mergeCell ref="B12:B13"/>
    <mergeCell ref="B14:B15"/>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3" tint="0.39991454817346722"/>
  </sheetPr>
  <dimension ref="A1:AS108"/>
  <sheetViews>
    <sheetView showGridLines="0" zoomScale="70" zoomScaleNormal="70" workbookViewId="0">
      <pane xSplit="4" ySplit="6" topLeftCell="E7" activePane="bottomRight" state="frozen"/>
      <selection pane="topRight" activeCell="E1" sqref="E1"/>
      <selection pane="bottomLeft" activeCell="A7" sqref="A7"/>
      <selection pane="bottomRight" activeCell="C23" sqref="C23"/>
    </sheetView>
  </sheetViews>
  <sheetFormatPr baseColWidth="10" defaultColWidth="11.44140625" defaultRowHeight="14.4"/>
  <cols>
    <col min="1" max="1" width="8.6640625" style="48" customWidth="1"/>
    <col min="2" max="2" width="45.5546875" style="48" customWidth="1"/>
    <col min="3" max="3" width="11.44140625" style="48"/>
    <col min="4" max="4" width="29.6640625" style="48" customWidth="1"/>
    <col min="5" max="7" width="13.109375" style="48" customWidth="1"/>
    <col min="8" max="10" width="11.44140625" style="48"/>
    <col min="11" max="11" width="13.109375" style="48" customWidth="1"/>
    <col min="12" max="15" width="11.44140625" style="48"/>
    <col min="16" max="16" width="17.6640625" style="48" customWidth="1"/>
    <col min="17" max="17" width="11.44140625" style="48"/>
    <col min="18" max="18" width="17.109375" style="48" customWidth="1"/>
    <col min="19" max="19" width="11.44140625" style="48"/>
    <col min="20" max="20" width="14.44140625" style="48" customWidth="1"/>
    <col min="21" max="21" width="17.5546875" style="48" customWidth="1"/>
    <col min="22" max="22" width="11.44140625" style="48"/>
    <col min="23" max="23" width="13.77734375" style="48" customWidth="1"/>
    <col min="24" max="25" width="11.44140625" style="48"/>
    <col min="26" max="26" width="14.33203125" style="48" customWidth="1"/>
    <col min="27" max="34" width="11.44140625" style="48"/>
    <col min="35" max="35" width="15.44140625" style="48" customWidth="1"/>
    <col min="36" max="37" width="15.6640625" style="48" customWidth="1"/>
    <col min="38" max="38" width="18.33203125" style="48" customWidth="1"/>
    <col min="39" max="40" width="11.44140625" style="48"/>
    <col min="41" max="41" width="14.33203125" style="48" customWidth="1"/>
    <col min="42" max="42" width="14" style="48" customWidth="1"/>
    <col min="43" max="43" width="13" style="48" bestFit="1" customWidth="1"/>
    <col min="44" max="16384" width="11.44140625" style="48"/>
  </cols>
  <sheetData>
    <row r="1" spans="1:45" ht="24.75" customHeight="1">
      <c r="A1" s="855" t="s">
        <v>383</v>
      </c>
      <c r="B1" s="856"/>
      <c r="C1" s="856"/>
      <c r="D1" s="856"/>
      <c r="E1" s="856"/>
      <c r="F1" s="856"/>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7"/>
      <c r="AR1" s="100">
        <v>5</v>
      </c>
      <c r="AS1" s="103" t="s">
        <v>384</v>
      </c>
    </row>
    <row r="2" spans="1:45" ht="12.75" customHeight="1">
      <c r="A2" s="842" t="s">
        <v>284</v>
      </c>
      <c r="B2" s="837"/>
      <c r="C2" s="837"/>
      <c r="D2" s="837"/>
      <c r="E2" s="837"/>
      <c r="F2" s="837"/>
      <c r="G2" s="837"/>
      <c r="H2" s="837"/>
      <c r="I2" s="837"/>
      <c r="J2" s="837"/>
      <c r="K2" s="837"/>
      <c r="L2" s="837"/>
      <c r="M2" s="837"/>
      <c r="N2" s="837"/>
      <c r="O2" s="837"/>
      <c r="P2" s="836" t="s">
        <v>285</v>
      </c>
      <c r="Q2" s="837"/>
      <c r="R2" s="837"/>
      <c r="S2" s="837"/>
      <c r="T2" s="837"/>
      <c r="U2" s="837"/>
      <c r="V2" s="837"/>
      <c r="W2" s="837"/>
      <c r="X2" s="837"/>
      <c r="Y2" s="837"/>
      <c r="Z2" s="838"/>
      <c r="AA2" s="858" t="s">
        <v>286</v>
      </c>
      <c r="AB2" s="807"/>
      <c r="AC2" s="807"/>
      <c r="AD2" s="807"/>
      <c r="AE2" s="807"/>
      <c r="AF2" s="807"/>
      <c r="AG2" s="807"/>
      <c r="AH2" s="807"/>
      <c r="AI2" s="807"/>
      <c r="AJ2" s="807"/>
      <c r="AK2" s="807"/>
      <c r="AL2" s="807"/>
      <c r="AM2" s="807"/>
      <c r="AN2" s="807"/>
      <c r="AO2" s="97"/>
      <c r="AP2" s="97"/>
      <c r="AQ2" s="861" t="s">
        <v>287</v>
      </c>
      <c r="AR2" s="100">
        <v>1.25</v>
      </c>
      <c r="AS2" s="104" t="s">
        <v>385</v>
      </c>
    </row>
    <row r="3" spans="1:45" ht="43.2" customHeight="1">
      <c r="A3" s="863" t="s">
        <v>293</v>
      </c>
      <c r="B3" s="851" t="s">
        <v>294</v>
      </c>
      <c r="C3" s="865" t="s">
        <v>295</v>
      </c>
      <c r="D3" s="851" t="s">
        <v>386</v>
      </c>
      <c r="E3" s="851" t="s">
        <v>1070</v>
      </c>
      <c r="F3" s="851" t="s">
        <v>1071</v>
      </c>
      <c r="G3" s="851" t="s">
        <v>1072</v>
      </c>
      <c r="H3" s="851" t="s">
        <v>301</v>
      </c>
      <c r="I3" s="859" t="s">
        <v>387</v>
      </c>
      <c r="J3" s="851" t="s">
        <v>388</v>
      </c>
      <c r="K3" s="94" t="s">
        <v>298</v>
      </c>
      <c r="L3" s="94" t="s">
        <v>240</v>
      </c>
      <c r="M3" s="94" t="s">
        <v>242</v>
      </c>
      <c r="N3" s="94" t="s">
        <v>300</v>
      </c>
      <c r="O3" s="859" t="s">
        <v>389</v>
      </c>
      <c r="P3" s="849" t="s">
        <v>303</v>
      </c>
      <c r="Q3" s="849" t="s">
        <v>304</v>
      </c>
      <c r="R3" s="844" t="s">
        <v>1000</v>
      </c>
      <c r="S3" s="849" t="s">
        <v>305</v>
      </c>
      <c r="T3" s="844" t="s">
        <v>1001</v>
      </c>
      <c r="U3" s="844" t="s">
        <v>959</v>
      </c>
      <c r="V3" s="849" t="s">
        <v>306</v>
      </c>
      <c r="W3" s="844" t="s">
        <v>963</v>
      </c>
      <c r="X3" s="849" t="s">
        <v>307</v>
      </c>
      <c r="Y3" s="850" t="s">
        <v>308</v>
      </c>
      <c r="Z3" s="846" t="s">
        <v>871</v>
      </c>
      <c r="AA3" s="818" t="s">
        <v>290</v>
      </c>
      <c r="AB3" s="818"/>
      <c r="AC3" s="818"/>
      <c r="AD3" s="818"/>
      <c r="AE3" s="818" t="s">
        <v>289</v>
      </c>
      <c r="AF3" s="818"/>
      <c r="AG3" s="818"/>
      <c r="AH3" s="818"/>
      <c r="AI3" s="844" t="s">
        <v>961</v>
      </c>
      <c r="AJ3" s="844" t="s">
        <v>962</v>
      </c>
      <c r="AK3" s="475" t="s">
        <v>291</v>
      </c>
      <c r="AL3" s="844" t="s">
        <v>966</v>
      </c>
      <c r="AM3" s="821" t="s">
        <v>292</v>
      </c>
      <c r="AN3" s="821" t="s">
        <v>390</v>
      </c>
      <c r="AO3" s="821" t="s">
        <v>874</v>
      </c>
      <c r="AP3" s="846" t="s">
        <v>875</v>
      </c>
      <c r="AQ3" s="861"/>
    </row>
    <row r="4" spans="1:45" ht="33.75" customHeight="1">
      <c r="A4" s="864"/>
      <c r="B4" s="852"/>
      <c r="C4" s="866"/>
      <c r="D4" s="852"/>
      <c r="E4" s="852"/>
      <c r="F4" s="852"/>
      <c r="G4" s="852"/>
      <c r="H4" s="852"/>
      <c r="I4" s="860"/>
      <c r="J4" s="852"/>
      <c r="K4" s="345"/>
      <c r="L4" s="345">
        <f>'B.1.Vehículos'!G5</f>
        <v>2025</v>
      </c>
      <c r="M4" s="345">
        <f>'B.1.Vehículos'!H5</f>
        <v>2033</v>
      </c>
      <c r="N4" s="345">
        <f>M4-L4</f>
        <v>8</v>
      </c>
      <c r="O4" s="860"/>
      <c r="P4" s="849"/>
      <c r="Q4" s="849"/>
      <c r="R4" s="845"/>
      <c r="S4" s="849"/>
      <c r="T4" s="845"/>
      <c r="U4" s="845"/>
      <c r="V4" s="849"/>
      <c r="W4" s="845"/>
      <c r="X4" s="849"/>
      <c r="Y4" s="850"/>
      <c r="Z4" s="846"/>
      <c r="AA4" s="99" t="s">
        <v>391</v>
      </c>
      <c r="AB4" s="99" t="s">
        <v>392</v>
      </c>
      <c r="AC4" s="99" t="s">
        <v>311</v>
      </c>
      <c r="AD4" s="99" t="s">
        <v>312</v>
      </c>
      <c r="AE4" s="99" t="s">
        <v>393</v>
      </c>
      <c r="AF4" s="99" t="s">
        <v>394</v>
      </c>
      <c r="AG4" s="99" t="s">
        <v>395</v>
      </c>
      <c r="AH4" s="99" t="s">
        <v>396</v>
      </c>
      <c r="AI4" s="845"/>
      <c r="AJ4" s="845"/>
      <c r="AK4" s="289" t="s">
        <v>313</v>
      </c>
      <c r="AL4" s="845"/>
      <c r="AM4" s="821"/>
      <c r="AN4" s="821"/>
      <c r="AO4" s="821"/>
      <c r="AP4" s="846"/>
      <c r="AQ4" s="861"/>
    </row>
    <row r="5" spans="1:45">
      <c r="A5" s="346" t="s">
        <v>314</v>
      </c>
      <c r="B5" s="347"/>
      <c r="C5" s="348"/>
      <c r="D5" s="347"/>
      <c r="E5" s="349" t="s">
        <v>11</v>
      </c>
      <c r="F5" s="349"/>
      <c r="G5" s="349"/>
      <c r="H5" s="347"/>
      <c r="I5" s="349"/>
      <c r="J5" s="347" t="s">
        <v>13</v>
      </c>
      <c r="K5" s="349"/>
      <c r="L5" s="349"/>
      <c r="M5" s="349"/>
      <c r="N5" s="349" t="s">
        <v>315</v>
      </c>
      <c r="O5" s="349"/>
      <c r="P5" s="541" t="s">
        <v>1082</v>
      </c>
      <c r="Q5" s="347" t="s">
        <v>317</v>
      </c>
      <c r="R5" s="347"/>
      <c r="S5" s="347" t="s">
        <v>228</v>
      </c>
      <c r="T5" s="347"/>
      <c r="U5" s="347"/>
      <c r="V5" s="347" t="s">
        <v>318</v>
      </c>
      <c r="W5" s="347"/>
      <c r="X5" s="347"/>
      <c r="Y5" s="347" t="s">
        <v>319</v>
      </c>
      <c r="Z5" s="347" t="s">
        <v>872</v>
      </c>
      <c r="AA5" s="350"/>
      <c r="AB5" s="350"/>
      <c r="AC5" s="350"/>
      <c r="AD5" s="350"/>
      <c r="AE5" s="350"/>
      <c r="AF5" s="350"/>
      <c r="AG5" s="350"/>
      <c r="AH5" s="350"/>
      <c r="AI5" s="350"/>
      <c r="AJ5" s="350"/>
      <c r="AK5" s="350"/>
      <c r="AL5" s="350"/>
      <c r="AM5" s="848"/>
      <c r="AN5" s="848"/>
      <c r="AO5" s="848"/>
      <c r="AP5" s="847"/>
      <c r="AQ5" s="862"/>
    </row>
    <row r="6" spans="1:45" ht="15" customHeight="1">
      <c r="A6" s="853" t="s">
        <v>397</v>
      </c>
      <c r="B6" s="854"/>
      <c r="C6" s="854"/>
      <c r="D6" s="523"/>
      <c r="E6" s="523"/>
      <c r="F6" s="542">
        <v>1</v>
      </c>
      <c r="G6" s="523"/>
      <c r="H6" s="523"/>
      <c r="I6" s="93"/>
      <c r="J6" s="93"/>
      <c r="K6" s="93"/>
      <c r="L6" s="93"/>
      <c r="M6" s="93"/>
      <c r="N6" s="93"/>
      <c r="O6" s="93"/>
      <c r="P6" s="93"/>
      <c r="Q6" s="93"/>
      <c r="R6" s="93"/>
      <c r="S6" s="101">
        <f>'B. Resumen Costes Veh_Maq'!D9</f>
        <v>5.3999999999999999E-2</v>
      </c>
      <c r="T6" s="93"/>
      <c r="U6" s="93"/>
      <c r="V6" s="501">
        <v>0.125</v>
      </c>
      <c r="W6" s="93"/>
      <c r="X6" s="93"/>
      <c r="Y6" s="93"/>
      <c r="Z6" s="93"/>
      <c r="AA6" s="93"/>
      <c r="AB6" s="93"/>
      <c r="AC6" s="93"/>
      <c r="AD6" s="93"/>
      <c r="AE6" s="93"/>
      <c r="AF6" s="93"/>
      <c r="AG6" s="93"/>
      <c r="AH6" s="93"/>
      <c r="AI6" s="93"/>
      <c r="AJ6" s="93"/>
      <c r="AK6" s="101">
        <v>1E-4</v>
      </c>
      <c r="AL6" s="101"/>
      <c r="AM6" s="93"/>
      <c r="AN6" s="93"/>
      <c r="AO6" s="93"/>
      <c r="AP6" s="93"/>
      <c r="AQ6" s="102"/>
    </row>
    <row r="7" spans="1:45">
      <c r="A7" s="307">
        <v>4</v>
      </c>
      <c r="B7" s="320" t="s">
        <v>398</v>
      </c>
      <c r="C7" s="321" t="s">
        <v>399</v>
      </c>
      <c r="D7" s="321" t="s">
        <v>400</v>
      </c>
      <c r="E7" s="528">
        <v>1653.75</v>
      </c>
      <c r="F7" s="524">
        <f>$F$6</f>
        <v>1</v>
      </c>
      <c r="G7" s="528">
        <f>E7*F7</f>
        <v>1653.75</v>
      </c>
      <c r="H7" s="528"/>
      <c r="I7" s="322">
        <f>22*8*AR$1</f>
        <v>880</v>
      </c>
      <c r="J7" s="322">
        <v>4</v>
      </c>
      <c r="K7" s="323"/>
      <c r="L7" s="324">
        <f>L$4</f>
        <v>2025</v>
      </c>
      <c r="M7" s="324">
        <f>M$4</f>
        <v>2033</v>
      </c>
      <c r="N7" s="324">
        <f>N$4</f>
        <v>8</v>
      </c>
      <c r="O7" s="322">
        <v>6.5999999046325701</v>
      </c>
      <c r="P7" s="528">
        <f>E7*A7</f>
        <v>6615</v>
      </c>
      <c r="Q7" s="528">
        <f>IF(A7&gt;0,E7/J7,0)</f>
        <v>413.4375</v>
      </c>
      <c r="R7" s="528">
        <f>Q7*A7</f>
        <v>1653.75</v>
      </c>
      <c r="S7" s="291">
        <f>IF(A7=0,0,PMT($S$6,J7,-G7))-Q7</f>
        <v>57.280612642485892</v>
      </c>
      <c r="T7" s="306">
        <f>S7*A7</f>
        <v>229.12245056994357</v>
      </c>
      <c r="U7" s="528">
        <f>(S7+Q7)*A7</f>
        <v>1882.8724505699436</v>
      </c>
      <c r="V7" s="528">
        <f>Q7*V$6</f>
        <v>51.6796875</v>
      </c>
      <c r="W7" s="533">
        <f>V7*A7</f>
        <v>206.71875</v>
      </c>
      <c r="X7" s="291">
        <f>IF((J7-N7)&lt;0,0,(Q7*(J7-(N7))))</f>
        <v>0</v>
      </c>
      <c r="Y7" s="306">
        <f>IF(A7&gt;0,(Q7+S7+V7),0)</f>
        <v>522.39780014248595</v>
      </c>
      <c r="Z7" s="534">
        <f>(Q7+S7+V7)*A7</f>
        <v>2089.5912005699438</v>
      </c>
      <c r="AA7" s="330">
        <f>VLOOKUP(O7,'B.0.ConsumiblesMaquinaria'!C$7:D$16,2)</f>
        <v>3.5000000000000003E-2</v>
      </c>
      <c r="AB7" s="323">
        <f>IF(A7&gt;0,+I7*AA7,0)</f>
        <v>30.800000000000004</v>
      </c>
      <c r="AC7" s="323">
        <f>+'B.0.ConsumiblesMaquinaria'!J$24</f>
        <v>9.879999999999999</v>
      </c>
      <c r="AD7" s="323">
        <f>IF(A7&gt;0,+ROUND(AA7*AR$1*AC7,4),0)</f>
        <v>1.7290000000000001</v>
      </c>
      <c r="AE7" s="322">
        <f>0.9*AE$106</f>
        <v>0.72000000000000008</v>
      </c>
      <c r="AF7" s="322">
        <f>IF(A7&gt;0,ROUND(AE7*I7,2),0)</f>
        <v>633.6</v>
      </c>
      <c r="AG7" s="323">
        <f>+'B.0.ConsumiblesMaquinaria'!J$22</f>
        <v>1.7</v>
      </c>
      <c r="AH7" s="323">
        <f>IF(A7&gt;0,+ROUND(AE7*AR$1*AG7,4),0)</f>
        <v>6.12</v>
      </c>
      <c r="AI7" s="322">
        <f>AH7+AD7</f>
        <v>7.8490000000000002</v>
      </c>
      <c r="AJ7" s="322">
        <f>(AI7*AN7)*A7</f>
        <v>5651.28</v>
      </c>
      <c r="AK7" s="331">
        <f>IF(A7&gt;0,E7*AK$6,0)</f>
        <v>0.16537499999999999</v>
      </c>
      <c r="AL7" s="322">
        <f>(AK7*AN7)*A7</f>
        <v>119.07</v>
      </c>
      <c r="AM7" s="323">
        <f>IF(A7&gt;0,(AH7+AD7+AK7),0)</f>
        <v>8.0143749999999994</v>
      </c>
      <c r="AN7" s="324">
        <v>180</v>
      </c>
      <c r="AO7" s="322">
        <f>AN7*AM7</f>
        <v>1442.5874999999999</v>
      </c>
      <c r="AP7" s="332">
        <f>AO7*A7</f>
        <v>5770.3499999999995</v>
      </c>
      <c r="AQ7" s="333">
        <f>AP7+Z7</f>
        <v>7859.9412005699432</v>
      </c>
    </row>
    <row r="8" spans="1:45">
      <c r="A8" s="307">
        <v>0</v>
      </c>
      <c r="B8" s="298" t="s">
        <v>401</v>
      </c>
      <c r="C8" s="299" t="s">
        <v>399</v>
      </c>
      <c r="D8" s="299" t="s">
        <v>400</v>
      </c>
      <c r="E8" s="529">
        <v>2289.8124694824101</v>
      </c>
      <c r="F8" s="525">
        <f t="shared" ref="F8:F25" si="0">$F$6</f>
        <v>1</v>
      </c>
      <c r="G8" s="529">
        <f t="shared" ref="G8:G25" si="1">E8*F8</f>
        <v>2289.8124694824101</v>
      </c>
      <c r="H8" s="529"/>
      <c r="I8" s="300">
        <f t="shared" ref="I8:I48" si="2">22*8*AR$1</f>
        <v>880</v>
      </c>
      <c r="J8" s="300">
        <v>4</v>
      </c>
      <c r="K8" s="301"/>
      <c r="L8" s="302">
        <f t="shared" ref="L8:N25" si="3">L$4</f>
        <v>2025</v>
      </c>
      <c r="M8" s="302">
        <f t="shared" si="3"/>
        <v>2033</v>
      </c>
      <c r="N8" s="302">
        <f t="shared" si="3"/>
        <v>8</v>
      </c>
      <c r="O8" s="300">
        <v>6.5999999046325701</v>
      </c>
      <c r="P8" s="529">
        <f t="shared" ref="P8:P25" si="4">E8*A8</f>
        <v>0</v>
      </c>
      <c r="Q8" s="529">
        <f t="shared" ref="Q8:Q25" si="5">IF(A8&gt;0,E8/J8,0)</f>
        <v>0</v>
      </c>
      <c r="R8" s="529">
        <f t="shared" ref="R8:R25" si="6">Q8*A8</f>
        <v>0</v>
      </c>
      <c r="S8" s="529">
        <f t="shared" ref="S8:S25" si="7">IF(A8=0,0,PMT($S$6,J8,-G8))-Q8</f>
        <v>0</v>
      </c>
      <c r="T8" s="529">
        <f t="shared" ref="T8:T25" si="8">S8*A8</f>
        <v>0</v>
      </c>
      <c r="U8" s="529">
        <f t="shared" ref="U8:U25" si="9">(S8+Q8)*A8</f>
        <v>0</v>
      </c>
      <c r="V8" s="529">
        <f t="shared" ref="V8:V73" si="10">Q8*V$6</f>
        <v>0</v>
      </c>
      <c r="W8" s="529">
        <f t="shared" ref="W8:W25" si="11">V8*A8</f>
        <v>0</v>
      </c>
      <c r="X8" s="291">
        <f t="shared" ref="X8:X73" si="12">IF((J8-N8)&lt;0,0,(Q8*(J8-(N8))))</f>
        <v>0</v>
      </c>
      <c r="Y8" s="291">
        <f t="shared" ref="Y8:Y25" si="13">IF(A8&gt;0,(Q8+S8+V8),0)</f>
        <v>0</v>
      </c>
      <c r="Z8" s="335">
        <f t="shared" ref="Z8:Z25" si="14">(Q8+S8+V8)*A8</f>
        <v>0</v>
      </c>
      <c r="AA8" s="334">
        <f>VLOOKUP(O8,'B.0.ConsumiblesMaquinaria'!C$7:D$16,2)</f>
        <v>3.5000000000000003E-2</v>
      </c>
      <c r="AB8" s="301">
        <f t="shared" ref="AB8:AB73" si="15">IF(A8&gt;0,+I8*AA8,0)</f>
        <v>0</v>
      </c>
      <c r="AC8" s="301">
        <f>+'B.0.ConsumiblesMaquinaria'!J$24</f>
        <v>9.879999999999999</v>
      </c>
      <c r="AD8" s="301">
        <f t="shared" ref="AD8:AD25" si="16">+ROUND(AA8*AR$1*AC8,2)</f>
        <v>1.73</v>
      </c>
      <c r="AE8" s="300">
        <f>1*AE$106</f>
        <v>0.8</v>
      </c>
      <c r="AF8" s="300">
        <f t="shared" ref="AF8:AF73" si="17">IF(A8&gt;0,ROUND(AE8*I8,2),0)</f>
        <v>0</v>
      </c>
      <c r="AG8" s="301">
        <f>+'B.0.ConsumiblesMaquinaria'!J$22</f>
        <v>1.7</v>
      </c>
      <c r="AH8" s="301">
        <f t="shared" ref="AH8:AH73" si="18">IF(A8&gt;0,+ROUND(AE8*AR$1*AG8,4),0)</f>
        <v>0</v>
      </c>
      <c r="AI8" s="301">
        <f t="shared" ref="AI8:AI25" si="19">AH8+AD8</f>
        <v>1.73</v>
      </c>
      <c r="AJ8" s="300">
        <f t="shared" ref="AJ8:AJ25" si="20">(AI8*AN8)*A8</f>
        <v>0</v>
      </c>
      <c r="AK8" s="304">
        <f t="shared" ref="AK8:AK73" si="21">IF(A8&gt;0,E8*AK$6,0)</f>
        <v>0</v>
      </c>
      <c r="AL8" s="300">
        <f t="shared" ref="AL8:AL25" si="22">(AK8*AN8)*A8</f>
        <v>0</v>
      </c>
      <c r="AM8" s="301">
        <f t="shared" ref="AM8:AM25" si="23">IF(A8&gt;0,(AH8+AD8+AK8),0)</f>
        <v>0</v>
      </c>
      <c r="AN8" s="302">
        <v>180</v>
      </c>
      <c r="AO8" s="300">
        <f t="shared" ref="AO8:AO25" si="24">AN8*AM8</f>
        <v>0</v>
      </c>
      <c r="AP8" s="303">
        <f t="shared" ref="AP8:AP25" si="25">AO8*A8</f>
        <v>0</v>
      </c>
      <c r="AQ8" s="335">
        <f t="shared" ref="AQ8:AQ25" si="26">AP8+Z8</f>
        <v>0</v>
      </c>
    </row>
    <row r="9" spans="1:45">
      <c r="A9" s="307">
        <v>2</v>
      </c>
      <c r="B9" s="298" t="s">
        <v>402</v>
      </c>
      <c r="C9" s="299" t="s">
        <v>399</v>
      </c>
      <c r="D9" s="299" t="s">
        <v>400</v>
      </c>
      <c r="E9" s="529">
        <v>6147.0373535156295</v>
      </c>
      <c r="F9" s="525">
        <f t="shared" si="0"/>
        <v>1</v>
      </c>
      <c r="G9" s="529">
        <f t="shared" si="1"/>
        <v>6147.0373535156295</v>
      </c>
      <c r="H9" s="529"/>
      <c r="I9" s="300">
        <f t="shared" si="2"/>
        <v>880</v>
      </c>
      <c r="J9" s="300">
        <v>4</v>
      </c>
      <c r="K9" s="301"/>
      <c r="L9" s="302">
        <f t="shared" si="3"/>
        <v>2025</v>
      </c>
      <c r="M9" s="302">
        <f t="shared" si="3"/>
        <v>2033</v>
      </c>
      <c r="N9" s="302">
        <f t="shared" si="3"/>
        <v>8</v>
      </c>
      <c r="O9" s="300">
        <v>13</v>
      </c>
      <c r="P9" s="529">
        <f t="shared" si="4"/>
        <v>12294.074707031259</v>
      </c>
      <c r="Q9" s="529">
        <f t="shared" si="5"/>
        <v>1536.7593383789074</v>
      </c>
      <c r="R9" s="529">
        <f t="shared" si="6"/>
        <v>3073.5186767578148</v>
      </c>
      <c r="S9" s="529">
        <f t="shared" si="7"/>
        <v>212.91372066250642</v>
      </c>
      <c r="T9" s="529">
        <f t="shared" si="8"/>
        <v>425.82744132501284</v>
      </c>
      <c r="U9" s="529">
        <f t="shared" si="9"/>
        <v>3499.3461180828276</v>
      </c>
      <c r="V9" s="529">
        <f t="shared" si="10"/>
        <v>192.09491729736342</v>
      </c>
      <c r="W9" s="529">
        <f t="shared" si="11"/>
        <v>384.18983459472685</v>
      </c>
      <c r="X9" s="291">
        <f t="shared" si="12"/>
        <v>0</v>
      </c>
      <c r="Y9" s="291">
        <f t="shared" si="13"/>
        <v>1941.7679763387773</v>
      </c>
      <c r="Z9" s="335">
        <f t="shared" si="14"/>
        <v>3883.5359526775546</v>
      </c>
      <c r="AA9" s="334">
        <f>VLOOKUP(O9,'B.0.ConsumiblesMaquinaria'!C$7:D$16,2)</f>
        <v>3.5000000000000003E-2</v>
      </c>
      <c r="AB9" s="301">
        <f t="shared" si="15"/>
        <v>30.800000000000004</v>
      </c>
      <c r="AC9" s="301">
        <f>+'B.0.ConsumiblesMaquinaria'!J$24</f>
        <v>9.879999999999999</v>
      </c>
      <c r="AD9" s="301">
        <f t="shared" si="16"/>
        <v>1.73</v>
      </c>
      <c r="AE9" s="300">
        <f>1.2*AE$106</f>
        <v>0.96</v>
      </c>
      <c r="AF9" s="300">
        <f t="shared" si="17"/>
        <v>844.8</v>
      </c>
      <c r="AG9" s="301">
        <f>+'B.0.ConsumiblesMaquinaria'!J$22</f>
        <v>1.7</v>
      </c>
      <c r="AH9" s="301">
        <f t="shared" si="18"/>
        <v>8.16</v>
      </c>
      <c r="AI9" s="301">
        <f t="shared" si="19"/>
        <v>9.89</v>
      </c>
      <c r="AJ9" s="300">
        <f t="shared" si="20"/>
        <v>3560.4</v>
      </c>
      <c r="AK9" s="304">
        <f t="shared" si="21"/>
        <v>0.61470373535156297</v>
      </c>
      <c r="AL9" s="300">
        <f t="shared" si="22"/>
        <v>221.29334472656268</v>
      </c>
      <c r="AM9" s="301">
        <f t="shared" si="23"/>
        <v>10.504703735351564</v>
      </c>
      <c r="AN9" s="302">
        <v>180</v>
      </c>
      <c r="AO9" s="300">
        <f t="shared" si="24"/>
        <v>1890.8466723632814</v>
      </c>
      <c r="AP9" s="303">
        <f t="shared" si="25"/>
        <v>3781.6933447265628</v>
      </c>
      <c r="AQ9" s="335">
        <f t="shared" si="26"/>
        <v>7665.2292974041175</v>
      </c>
    </row>
    <row r="10" spans="1:45">
      <c r="A10" s="307">
        <v>0</v>
      </c>
      <c r="B10" s="298" t="s">
        <v>403</v>
      </c>
      <c r="C10" s="299" t="s">
        <v>399</v>
      </c>
      <c r="D10" s="299" t="s">
        <v>400</v>
      </c>
      <c r="E10" s="529">
        <v>8062.5</v>
      </c>
      <c r="F10" s="525">
        <f t="shared" si="0"/>
        <v>1</v>
      </c>
      <c r="G10" s="529">
        <f t="shared" si="1"/>
        <v>8062.5</v>
      </c>
      <c r="H10" s="529"/>
      <c r="I10" s="300">
        <f t="shared" si="2"/>
        <v>880</v>
      </c>
      <c r="J10" s="300">
        <v>4</v>
      </c>
      <c r="K10" s="301"/>
      <c r="L10" s="302">
        <f t="shared" si="3"/>
        <v>2025</v>
      </c>
      <c r="M10" s="302">
        <f t="shared" si="3"/>
        <v>2033</v>
      </c>
      <c r="N10" s="302">
        <f t="shared" si="3"/>
        <v>8</v>
      </c>
      <c r="O10" s="300">
        <v>12.5</v>
      </c>
      <c r="P10" s="529">
        <f t="shared" si="4"/>
        <v>0</v>
      </c>
      <c r="Q10" s="529">
        <f t="shared" si="5"/>
        <v>0</v>
      </c>
      <c r="R10" s="529">
        <f t="shared" si="6"/>
        <v>0</v>
      </c>
      <c r="S10" s="529">
        <f t="shared" si="7"/>
        <v>0</v>
      </c>
      <c r="T10" s="529">
        <f t="shared" si="8"/>
        <v>0</v>
      </c>
      <c r="U10" s="529">
        <f t="shared" si="9"/>
        <v>0</v>
      </c>
      <c r="V10" s="529">
        <f t="shared" si="10"/>
        <v>0</v>
      </c>
      <c r="W10" s="529">
        <f t="shared" si="11"/>
        <v>0</v>
      </c>
      <c r="X10" s="291">
        <f t="shared" si="12"/>
        <v>0</v>
      </c>
      <c r="Y10" s="291">
        <f t="shared" si="13"/>
        <v>0</v>
      </c>
      <c r="Z10" s="335">
        <f t="shared" si="14"/>
        <v>0</v>
      </c>
      <c r="AA10" s="334">
        <f>VLOOKUP(O10,'B.0.ConsumiblesMaquinaria'!C$7:D$16,2)</f>
        <v>3.5000000000000003E-2</v>
      </c>
      <c r="AB10" s="301">
        <f t="shared" si="15"/>
        <v>0</v>
      </c>
      <c r="AC10" s="301">
        <f>+'B.0.ConsumiblesMaquinaria'!J$24</f>
        <v>9.879999999999999</v>
      </c>
      <c r="AD10" s="301">
        <f t="shared" si="16"/>
        <v>1.73</v>
      </c>
      <c r="AE10" s="300">
        <f>1.2*AE$106</f>
        <v>0.96</v>
      </c>
      <c r="AF10" s="300">
        <f t="shared" si="17"/>
        <v>0</v>
      </c>
      <c r="AG10" s="301">
        <f>+'B.0.ConsumiblesMaquinaria'!J$22</f>
        <v>1.7</v>
      </c>
      <c r="AH10" s="301">
        <f t="shared" si="18"/>
        <v>0</v>
      </c>
      <c r="AI10" s="301">
        <f t="shared" si="19"/>
        <v>1.73</v>
      </c>
      <c r="AJ10" s="300">
        <f t="shared" si="20"/>
        <v>0</v>
      </c>
      <c r="AK10" s="304">
        <f t="shared" si="21"/>
        <v>0</v>
      </c>
      <c r="AL10" s="300">
        <f t="shared" si="22"/>
        <v>0</v>
      </c>
      <c r="AM10" s="301">
        <f t="shared" si="23"/>
        <v>0</v>
      </c>
      <c r="AN10" s="302">
        <v>180</v>
      </c>
      <c r="AO10" s="300">
        <f t="shared" si="24"/>
        <v>0</v>
      </c>
      <c r="AP10" s="303">
        <f t="shared" si="25"/>
        <v>0</v>
      </c>
      <c r="AQ10" s="335">
        <f t="shared" si="26"/>
        <v>0</v>
      </c>
    </row>
    <row r="11" spans="1:45">
      <c r="A11" s="307">
        <v>2</v>
      </c>
      <c r="B11" s="298" t="s">
        <v>404</v>
      </c>
      <c r="C11" s="299" t="s">
        <v>399</v>
      </c>
      <c r="D11" s="299" t="s">
        <v>400</v>
      </c>
      <c r="E11" s="529">
        <v>8125</v>
      </c>
      <c r="F11" s="525">
        <f t="shared" si="0"/>
        <v>1</v>
      </c>
      <c r="G11" s="529">
        <f t="shared" si="1"/>
        <v>8125</v>
      </c>
      <c r="H11" s="529"/>
      <c r="I11" s="300">
        <f t="shared" si="2"/>
        <v>880</v>
      </c>
      <c r="J11" s="300">
        <v>4</v>
      </c>
      <c r="K11" s="301"/>
      <c r="L11" s="302">
        <f t="shared" si="3"/>
        <v>2025</v>
      </c>
      <c r="M11" s="302">
        <f t="shared" si="3"/>
        <v>2033</v>
      </c>
      <c r="N11" s="302">
        <f t="shared" si="3"/>
        <v>8</v>
      </c>
      <c r="O11" s="300">
        <v>23</v>
      </c>
      <c r="P11" s="529">
        <f t="shared" si="4"/>
        <v>16250</v>
      </c>
      <c r="Q11" s="529">
        <f t="shared" si="5"/>
        <v>2031.25</v>
      </c>
      <c r="R11" s="529">
        <f t="shared" si="6"/>
        <v>4062.5</v>
      </c>
      <c r="S11" s="529">
        <f t="shared" si="7"/>
        <v>281.42402280888746</v>
      </c>
      <c r="T11" s="529">
        <f t="shared" si="8"/>
        <v>562.84804561777491</v>
      </c>
      <c r="U11" s="529">
        <f t="shared" si="9"/>
        <v>4625.3480456177749</v>
      </c>
      <c r="V11" s="529">
        <f t="shared" si="10"/>
        <v>253.90625</v>
      </c>
      <c r="W11" s="529">
        <f t="shared" si="11"/>
        <v>507.8125</v>
      </c>
      <c r="X11" s="291">
        <f t="shared" si="12"/>
        <v>0</v>
      </c>
      <c r="Y11" s="291">
        <f t="shared" si="13"/>
        <v>2566.5802728088875</v>
      </c>
      <c r="Z11" s="335">
        <f t="shared" si="14"/>
        <v>5133.1605456177749</v>
      </c>
      <c r="AA11" s="334">
        <f>VLOOKUP(O11,'B.0.ConsumiblesMaquinaria'!C$7:D$16,2)</f>
        <v>3.9E-2</v>
      </c>
      <c r="AB11" s="301">
        <f t="shared" si="15"/>
        <v>34.32</v>
      </c>
      <c r="AC11" s="301">
        <f>+'B.0.ConsumiblesMaquinaria'!J$24</f>
        <v>9.879999999999999</v>
      </c>
      <c r="AD11" s="301">
        <f>+ROUND(AA11*AR$1*AC11,2)</f>
        <v>1.93</v>
      </c>
      <c r="AE11" s="300">
        <f>2*AE$106</f>
        <v>1.6</v>
      </c>
      <c r="AF11" s="300">
        <f t="shared" si="17"/>
        <v>1408</v>
      </c>
      <c r="AG11" s="301">
        <f>+'B.0.ConsumiblesMaquinaria'!J$22</f>
        <v>1.7</v>
      </c>
      <c r="AH11" s="301">
        <f t="shared" si="18"/>
        <v>13.6</v>
      </c>
      <c r="AI11" s="301">
        <f t="shared" si="19"/>
        <v>15.53</v>
      </c>
      <c r="AJ11" s="300">
        <f t="shared" si="20"/>
        <v>5590.8</v>
      </c>
      <c r="AK11" s="304">
        <f t="shared" si="21"/>
        <v>0.8125</v>
      </c>
      <c r="AL11" s="300">
        <f t="shared" si="22"/>
        <v>292.5</v>
      </c>
      <c r="AM11" s="301">
        <f t="shared" si="23"/>
        <v>16.342500000000001</v>
      </c>
      <c r="AN11" s="302">
        <v>180</v>
      </c>
      <c r="AO11" s="300">
        <f t="shared" si="24"/>
        <v>2941.65</v>
      </c>
      <c r="AP11" s="303">
        <f t="shared" si="25"/>
        <v>5883.3</v>
      </c>
      <c r="AQ11" s="335">
        <f t="shared" si="26"/>
        <v>11016.460545617774</v>
      </c>
    </row>
    <row r="12" spans="1:45">
      <c r="A12" s="307">
        <v>0</v>
      </c>
      <c r="B12" s="298" t="s">
        <v>405</v>
      </c>
      <c r="C12" s="299" t="s">
        <v>399</v>
      </c>
      <c r="D12" s="299" t="s">
        <v>406</v>
      </c>
      <c r="E12" s="529">
        <v>15250</v>
      </c>
      <c r="F12" s="525">
        <f t="shared" si="0"/>
        <v>1</v>
      </c>
      <c r="G12" s="529">
        <f t="shared" si="1"/>
        <v>15250</v>
      </c>
      <c r="H12" s="529"/>
      <c r="I12" s="300">
        <f t="shared" si="2"/>
        <v>880</v>
      </c>
      <c r="J12" s="300">
        <v>4</v>
      </c>
      <c r="K12" s="301"/>
      <c r="L12" s="302">
        <f t="shared" si="3"/>
        <v>2025</v>
      </c>
      <c r="M12" s="302">
        <f t="shared" si="3"/>
        <v>2033</v>
      </c>
      <c r="N12" s="302">
        <f t="shared" si="3"/>
        <v>8</v>
      </c>
      <c r="O12" s="300">
        <v>27</v>
      </c>
      <c r="P12" s="529">
        <f t="shared" si="4"/>
        <v>0</v>
      </c>
      <c r="Q12" s="529">
        <f t="shared" si="5"/>
        <v>0</v>
      </c>
      <c r="R12" s="529">
        <f t="shared" si="6"/>
        <v>0</v>
      </c>
      <c r="S12" s="529">
        <f t="shared" si="7"/>
        <v>0</v>
      </c>
      <c r="T12" s="529">
        <f t="shared" si="8"/>
        <v>0</v>
      </c>
      <c r="U12" s="529">
        <f t="shared" si="9"/>
        <v>0</v>
      </c>
      <c r="V12" s="529">
        <f t="shared" si="10"/>
        <v>0</v>
      </c>
      <c r="W12" s="529">
        <f t="shared" si="11"/>
        <v>0</v>
      </c>
      <c r="X12" s="291">
        <f t="shared" si="12"/>
        <v>0</v>
      </c>
      <c r="Y12" s="291">
        <f t="shared" si="13"/>
        <v>0</v>
      </c>
      <c r="Z12" s="335">
        <f t="shared" si="14"/>
        <v>0</v>
      </c>
      <c r="AA12" s="334">
        <f>VLOOKUP(O12,'B.0.ConsumiblesMaquinaria'!C$7:D$16,2)</f>
        <v>3.9E-2</v>
      </c>
      <c r="AB12" s="301">
        <f t="shared" si="15"/>
        <v>0</v>
      </c>
      <c r="AC12" s="301">
        <f>+'B.0.ConsumiblesMaquinaria'!J$24</f>
        <v>9.879999999999999</v>
      </c>
      <c r="AD12" s="301">
        <f t="shared" si="16"/>
        <v>1.93</v>
      </c>
      <c r="AE12" s="300">
        <f>1.5*AE$106</f>
        <v>1.2000000000000002</v>
      </c>
      <c r="AF12" s="300">
        <f t="shared" si="17"/>
        <v>0</v>
      </c>
      <c r="AG12" s="301">
        <f>+'B.0.ConsumiblesMaquinaria'!J$22</f>
        <v>1.7</v>
      </c>
      <c r="AH12" s="301">
        <f t="shared" si="18"/>
        <v>0</v>
      </c>
      <c r="AI12" s="301">
        <f t="shared" si="19"/>
        <v>1.93</v>
      </c>
      <c r="AJ12" s="300">
        <f t="shared" si="20"/>
        <v>0</v>
      </c>
      <c r="AK12" s="304">
        <f t="shared" si="21"/>
        <v>0</v>
      </c>
      <c r="AL12" s="300">
        <f t="shared" si="22"/>
        <v>0</v>
      </c>
      <c r="AM12" s="301">
        <f t="shared" si="23"/>
        <v>0</v>
      </c>
      <c r="AN12" s="302">
        <v>180</v>
      </c>
      <c r="AO12" s="300">
        <f t="shared" si="24"/>
        <v>0</v>
      </c>
      <c r="AP12" s="303">
        <f t="shared" si="25"/>
        <v>0</v>
      </c>
      <c r="AQ12" s="335">
        <f t="shared" si="26"/>
        <v>0</v>
      </c>
    </row>
    <row r="13" spans="1:45">
      <c r="A13" s="307">
        <v>0</v>
      </c>
      <c r="B13" s="298" t="s">
        <v>407</v>
      </c>
      <c r="C13" s="299" t="s">
        <v>399</v>
      </c>
      <c r="D13" s="299" t="s">
        <v>408</v>
      </c>
      <c r="E13" s="529">
        <v>17645</v>
      </c>
      <c r="F13" s="525">
        <f t="shared" si="0"/>
        <v>1</v>
      </c>
      <c r="G13" s="529">
        <f t="shared" si="1"/>
        <v>17645</v>
      </c>
      <c r="H13" s="529"/>
      <c r="I13" s="300">
        <f t="shared" si="2"/>
        <v>880</v>
      </c>
      <c r="J13" s="300">
        <v>4</v>
      </c>
      <c r="K13" s="301"/>
      <c r="L13" s="302">
        <f t="shared" si="3"/>
        <v>2025</v>
      </c>
      <c r="M13" s="302">
        <f t="shared" si="3"/>
        <v>2033</v>
      </c>
      <c r="N13" s="302">
        <f t="shared" si="3"/>
        <v>8</v>
      </c>
      <c r="O13" s="300">
        <v>24</v>
      </c>
      <c r="P13" s="529">
        <f t="shared" si="4"/>
        <v>0</v>
      </c>
      <c r="Q13" s="529">
        <f t="shared" si="5"/>
        <v>0</v>
      </c>
      <c r="R13" s="529">
        <f t="shared" si="6"/>
        <v>0</v>
      </c>
      <c r="S13" s="529">
        <f t="shared" si="7"/>
        <v>0</v>
      </c>
      <c r="T13" s="529">
        <f t="shared" si="8"/>
        <v>0</v>
      </c>
      <c r="U13" s="529">
        <f t="shared" si="9"/>
        <v>0</v>
      </c>
      <c r="V13" s="529">
        <f t="shared" si="10"/>
        <v>0</v>
      </c>
      <c r="W13" s="529">
        <f t="shared" si="11"/>
        <v>0</v>
      </c>
      <c r="X13" s="291">
        <f t="shared" si="12"/>
        <v>0</v>
      </c>
      <c r="Y13" s="291">
        <f t="shared" si="13"/>
        <v>0</v>
      </c>
      <c r="Z13" s="335">
        <f t="shared" si="14"/>
        <v>0</v>
      </c>
      <c r="AA13" s="334">
        <f>VLOOKUP(O13,'B.0.ConsumiblesMaquinaria'!C$7:D$16,2)</f>
        <v>3.9E-2</v>
      </c>
      <c r="AB13" s="301">
        <f t="shared" si="15"/>
        <v>0</v>
      </c>
      <c r="AC13" s="301">
        <f>+'B.0.ConsumiblesMaquinaria'!J$24</f>
        <v>9.879999999999999</v>
      </c>
      <c r="AD13" s="301">
        <f t="shared" si="16"/>
        <v>1.93</v>
      </c>
      <c r="AE13" s="300">
        <f>3.29999995231628*AE$106</f>
        <v>2.6399999618530243</v>
      </c>
      <c r="AF13" s="300">
        <f t="shared" si="17"/>
        <v>0</v>
      </c>
      <c r="AG13" s="301">
        <f>+'B.0.ConsumiblesMaquinaria'!J$22</f>
        <v>1.7</v>
      </c>
      <c r="AH13" s="301">
        <f t="shared" si="18"/>
        <v>0</v>
      </c>
      <c r="AI13" s="301">
        <f t="shared" si="19"/>
        <v>1.93</v>
      </c>
      <c r="AJ13" s="300">
        <f t="shared" si="20"/>
        <v>0</v>
      </c>
      <c r="AK13" s="304">
        <f t="shared" si="21"/>
        <v>0</v>
      </c>
      <c r="AL13" s="300">
        <f t="shared" si="22"/>
        <v>0</v>
      </c>
      <c r="AM13" s="301">
        <f t="shared" si="23"/>
        <v>0</v>
      </c>
      <c r="AN13" s="302">
        <v>180</v>
      </c>
      <c r="AO13" s="300">
        <f t="shared" si="24"/>
        <v>0</v>
      </c>
      <c r="AP13" s="303">
        <f t="shared" si="25"/>
        <v>0</v>
      </c>
      <c r="AQ13" s="335">
        <f t="shared" si="26"/>
        <v>0</v>
      </c>
    </row>
    <row r="14" spans="1:45">
      <c r="A14" s="307">
        <v>0</v>
      </c>
      <c r="B14" s="298" t="s">
        <v>409</v>
      </c>
      <c r="C14" s="299" t="s">
        <v>410</v>
      </c>
      <c r="D14" s="299" t="s">
        <v>411</v>
      </c>
      <c r="E14" s="529">
        <v>6250</v>
      </c>
      <c r="F14" s="525">
        <f t="shared" si="0"/>
        <v>1</v>
      </c>
      <c r="G14" s="529">
        <f t="shared" si="1"/>
        <v>6250</v>
      </c>
      <c r="H14" s="529"/>
      <c r="I14" s="300">
        <f t="shared" si="2"/>
        <v>880</v>
      </c>
      <c r="J14" s="300">
        <v>4</v>
      </c>
      <c r="K14" s="301"/>
      <c r="L14" s="302">
        <f t="shared" si="3"/>
        <v>2025</v>
      </c>
      <c r="M14" s="302">
        <f t="shared" si="3"/>
        <v>2033</v>
      </c>
      <c r="N14" s="302">
        <f t="shared" si="3"/>
        <v>8</v>
      </c>
      <c r="O14" s="300">
        <v>7</v>
      </c>
      <c r="P14" s="529">
        <f t="shared" si="4"/>
        <v>0</v>
      </c>
      <c r="Q14" s="529">
        <f t="shared" si="5"/>
        <v>0</v>
      </c>
      <c r="R14" s="529">
        <f t="shared" si="6"/>
        <v>0</v>
      </c>
      <c r="S14" s="529">
        <f t="shared" si="7"/>
        <v>0</v>
      </c>
      <c r="T14" s="529">
        <f t="shared" si="8"/>
        <v>0</v>
      </c>
      <c r="U14" s="529">
        <f t="shared" si="9"/>
        <v>0</v>
      </c>
      <c r="V14" s="529">
        <f t="shared" si="10"/>
        <v>0</v>
      </c>
      <c r="W14" s="529">
        <f t="shared" si="11"/>
        <v>0</v>
      </c>
      <c r="X14" s="291">
        <f t="shared" si="12"/>
        <v>0</v>
      </c>
      <c r="Y14" s="291">
        <f t="shared" si="13"/>
        <v>0</v>
      </c>
      <c r="Z14" s="335">
        <f t="shared" si="14"/>
        <v>0</v>
      </c>
      <c r="AA14" s="334">
        <f>VLOOKUP(O14,'B.0.ConsumiblesMaquinaria'!C$7:D$16,2)</f>
        <v>3.5000000000000003E-2</v>
      </c>
      <c r="AB14" s="301">
        <f t="shared" si="15"/>
        <v>0</v>
      </c>
      <c r="AC14" s="301">
        <f>+'B.0.ConsumiblesMaquinaria'!J$25</f>
        <v>4.8</v>
      </c>
      <c r="AD14" s="301">
        <f t="shared" si="16"/>
        <v>0.84</v>
      </c>
      <c r="AE14" s="300">
        <f>1*AE$106</f>
        <v>0.8</v>
      </c>
      <c r="AF14" s="300">
        <f t="shared" si="17"/>
        <v>0</v>
      </c>
      <c r="AG14" s="301">
        <f>+'B.0.ConsumiblesMaquinaria'!J$22</f>
        <v>1.7</v>
      </c>
      <c r="AH14" s="301">
        <f t="shared" si="18"/>
        <v>0</v>
      </c>
      <c r="AI14" s="301">
        <f t="shared" si="19"/>
        <v>0.84</v>
      </c>
      <c r="AJ14" s="300">
        <f t="shared" si="20"/>
        <v>0</v>
      </c>
      <c r="AK14" s="304">
        <f t="shared" si="21"/>
        <v>0</v>
      </c>
      <c r="AL14" s="300">
        <f t="shared" si="22"/>
        <v>0</v>
      </c>
      <c r="AM14" s="301">
        <f t="shared" si="23"/>
        <v>0</v>
      </c>
      <c r="AN14" s="302">
        <v>180</v>
      </c>
      <c r="AO14" s="300">
        <f t="shared" si="24"/>
        <v>0</v>
      </c>
      <c r="AP14" s="303">
        <f t="shared" si="25"/>
        <v>0</v>
      </c>
      <c r="AQ14" s="335">
        <f t="shared" si="26"/>
        <v>0</v>
      </c>
    </row>
    <row r="15" spans="1:45">
      <c r="A15" s="307">
        <v>1</v>
      </c>
      <c r="B15" s="298" t="s">
        <v>412</v>
      </c>
      <c r="C15" s="299" t="s">
        <v>410</v>
      </c>
      <c r="D15" s="299" t="s">
        <v>413</v>
      </c>
      <c r="E15" s="529">
        <v>15000</v>
      </c>
      <c r="F15" s="525">
        <f t="shared" si="0"/>
        <v>1</v>
      </c>
      <c r="G15" s="529">
        <f t="shared" si="1"/>
        <v>15000</v>
      </c>
      <c r="H15" s="529"/>
      <c r="I15" s="300">
        <f t="shared" si="2"/>
        <v>880</v>
      </c>
      <c r="J15" s="300">
        <v>4</v>
      </c>
      <c r="K15" s="301"/>
      <c r="L15" s="302">
        <f t="shared" si="3"/>
        <v>2025</v>
      </c>
      <c r="M15" s="302">
        <f t="shared" si="3"/>
        <v>2033</v>
      </c>
      <c r="N15" s="302">
        <f t="shared" si="3"/>
        <v>8</v>
      </c>
      <c r="O15" s="300">
        <v>15</v>
      </c>
      <c r="P15" s="529">
        <f t="shared" si="4"/>
        <v>15000</v>
      </c>
      <c r="Q15" s="529">
        <f t="shared" si="5"/>
        <v>3750</v>
      </c>
      <c r="R15" s="529">
        <f t="shared" si="6"/>
        <v>3750</v>
      </c>
      <c r="S15" s="529">
        <f t="shared" si="7"/>
        <v>519.55204210871489</v>
      </c>
      <c r="T15" s="529">
        <f t="shared" si="8"/>
        <v>519.55204210871489</v>
      </c>
      <c r="U15" s="529">
        <f t="shared" si="9"/>
        <v>4269.5520421087149</v>
      </c>
      <c r="V15" s="529">
        <f t="shared" si="10"/>
        <v>468.75</v>
      </c>
      <c r="W15" s="529">
        <f t="shared" si="11"/>
        <v>468.75</v>
      </c>
      <c r="X15" s="291">
        <f t="shared" si="12"/>
        <v>0</v>
      </c>
      <c r="Y15" s="291">
        <f t="shared" si="13"/>
        <v>4738.3020421087149</v>
      </c>
      <c r="Z15" s="335">
        <f t="shared" si="14"/>
        <v>4738.3020421087149</v>
      </c>
      <c r="AA15" s="334">
        <f>VLOOKUP(O15,'B.0.ConsumiblesMaquinaria'!C$7:D$16,2)</f>
        <v>3.5000000000000003E-2</v>
      </c>
      <c r="AB15" s="301">
        <f t="shared" si="15"/>
        <v>30.800000000000004</v>
      </c>
      <c r="AC15" s="301">
        <f>+'B.0.ConsumiblesMaquinaria'!J$25</f>
        <v>4.8</v>
      </c>
      <c r="AD15" s="301">
        <f t="shared" si="16"/>
        <v>0.84</v>
      </c>
      <c r="AE15" s="300">
        <f>1*AE$106</f>
        <v>0.8</v>
      </c>
      <c r="AF15" s="300">
        <f t="shared" si="17"/>
        <v>704</v>
      </c>
      <c r="AG15" s="301">
        <f>+'B.0.ConsumiblesMaquinaria'!J$22</f>
        <v>1.7</v>
      </c>
      <c r="AH15" s="301">
        <f t="shared" si="18"/>
        <v>6.8</v>
      </c>
      <c r="AI15" s="301">
        <f t="shared" si="19"/>
        <v>7.64</v>
      </c>
      <c r="AJ15" s="300">
        <f t="shared" si="20"/>
        <v>1375.2</v>
      </c>
      <c r="AK15" s="304">
        <f t="shared" si="21"/>
        <v>1.5</v>
      </c>
      <c r="AL15" s="300">
        <f t="shared" si="22"/>
        <v>270</v>
      </c>
      <c r="AM15" s="301">
        <f t="shared" si="23"/>
        <v>9.14</v>
      </c>
      <c r="AN15" s="302">
        <v>180</v>
      </c>
      <c r="AO15" s="300">
        <f t="shared" si="24"/>
        <v>1645.2</v>
      </c>
      <c r="AP15" s="303">
        <f t="shared" si="25"/>
        <v>1645.2</v>
      </c>
      <c r="AQ15" s="335">
        <f t="shared" si="26"/>
        <v>6383.5020421087147</v>
      </c>
    </row>
    <row r="16" spans="1:45">
      <c r="A16" s="307">
        <v>11</v>
      </c>
      <c r="B16" s="298" t="s">
        <v>414</v>
      </c>
      <c r="C16" s="299" t="s">
        <v>410</v>
      </c>
      <c r="D16" s="299" t="s">
        <v>415</v>
      </c>
      <c r="E16" s="529">
        <v>805</v>
      </c>
      <c r="F16" s="525">
        <f t="shared" si="0"/>
        <v>1</v>
      </c>
      <c r="G16" s="529">
        <f t="shared" si="1"/>
        <v>805</v>
      </c>
      <c r="H16" s="529"/>
      <c r="I16" s="300">
        <f t="shared" si="2"/>
        <v>880</v>
      </c>
      <c r="J16" s="300">
        <v>4</v>
      </c>
      <c r="K16" s="301"/>
      <c r="L16" s="302">
        <f t="shared" si="3"/>
        <v>2025</v>
      </c>
      <c r="M16" s="302">
        <f t="shared" si="3"/>
        <v>2033</v>
      </c>
      <c r="N16" s="302">
        <f t="shared" si="3"/>
        <v>8</v>
      </c>
      <c r="O16" s="300">
        <v>1.8999999761581401</v>
      </c>
      <c r="P16" s="529">
        <f t="shared" si="4"/>
        <v>8855</v>
      </c>
      <c r="Q16" s="529">
        <f t="shared" si="5"/>
        <v>201.25</v>
      </c>
      <c r="R16" s="529">
        <f t="shared" si="6"/>
        <v>2213.75</v>
      </c>
      <c r="S16" s="529">
        <f t="shared" si="7"/>
        <v>27.882626259834353</v>
      </c>
      <c r="T16" s="529">
        <f t="shared" si="8"/>
        <v>306.70888885817789</v>
      </c>
      <c r="U16" s="529">
        <f t="shared" si="9"/>
        <v>2520.4588888581779</v>
      </c>
      <c r="V16" s="529">
        <f t="shared" si="10"/>
        <v>25.15625</v>
      </c>
      <c r="W16" s="529">
        <f t="shared" si="11"/>
        <v>276.71875</v>
      </c>
      <c r="X16" s="291">
        <f t="shared" si="12"/>
        <v>0</v>
      </c>
      <c r="Y16" s="291">
        <f t="shared" si="13"/>
        <v>254.28887625983435</v>
      </c>
      <c r="Z16" s="335">
        <f t="shared" si="14"/>
        <v>2797.1776388581779</v>
      </c>
      <c r="AA16" s="334">
        <f>VLOOKUP(O16,'B.0.ConsumiblesMaquinaria'!C$7:D$16,2)</f>
        <v>3.5000000000000003E-2</v>
      </c>
      <c r="AB16" s="301">
        <f t="shared" si="15"/>
        <v>30.800000000000004</v>
      </c>
      <c r="AC16" s="301">
        <f>+'B.0.ConsumiblesMaquinaria'!J$25</f>
        <v>4.8</v>
      </c>
      <c r="AD16" s="301">
        <f>+ROUND(AA16*AR$1*AC16,2)</f>
        <v>0.84</v>
      </c>
      <c r="AE16" s="300">
        <f>0.400000005960464*AE$106</f>
        <v>0.3200000047683712</v>
      </c>
      <c r="AF16" s="300">
        <f t="shared" si="17"/>
        <v>281.60000000000002</v>
      </c>
      <c r="AG16" s="301">
        <f>+'B.0.ConsumiblesMaquinaria'!J$22</f>
        <v>1.7</v>
      </c>
      <c r="AH16" s="301">
        <f t="shared" si="18"/>
        <v>2.72</v>
      </c>
      <c r="AI16" s="301">
        <f t="shared" si="19"/>
        <v>3.56</v>
      </c>
      <c r="AJ16" s="300">
        <f t="shared" si="20"/>
        <v>7048.7999999999993</v>
      </c>
      <c r="AK16" s="304">
        <f t="shared" si="21"/>
        <v>8.0500000000000002E-2</v>
      </c>
      <c r="AL16" s="300">
        <f t="shared" si="22"/>
        <v>159.39000000000001</v>
      </c>
      <c r="AM16" s="301">
        <f t="shared" si="23"/>
        <v>3.6404999999999998</v>
      </c>
      <c r="AN16" s="302">
        <v>180</v>
      </c>
      <c r="AO16" s="300">
        <f t="shared" si="24"/>
        <v>655.29</v>
      </c>
      <c r="AP16" s="303">
        <f t="shared" si="25"/>
        <v>7208.19</v>
      </c>
      <c r="AQ16" s="335">
        <f t="shared" si="26"/>
        <v>10005.367638858177</v>
      </c>
    </row>
    <row r="17" spans="1:43">
      <c r="A17" s="307">
        <v>3</v>
      </c>
      <c r="B17" s="298" t="s">
        <v>416</v>
      </c>
      <c r="C17" s="299" t="s">
        <v>410</v>
      </c>
      <c r="D17" s="299" t="s">
        <v>417</v>
      </c>
      <c r="E17" s="529">
        <v>1062.5</v>
      </c>
      <c r="F17" s="525">
        <f t="shared" si="0"/>
        <v>1</v>
      </c>
      <c r="G17" s="529">
        <f t="shared" si="1"/>
        <v>1062.5</v>
      </c>
      <c r="H17" s="529"/>
      <c r="I17" s="300">
        <f t="shared" si="2"/>
        <v>880</v>
      </c>
      <c r="J17" s="300">
        <v>4</v>
      </c>
      <c r="K17" s="301"/>
      <c r="L17" s="302">
        <f t="shared" si="3"/>
        <v>2025</v>
      </c>
      <c r="M17" s="302">
        <f t="shared" si="3"/>
        <v>2033</v>
      </c>
      <c r="N17" s="302">
        <f t="shared" si="3"/>
        <v>8</v>
      </c>
      <c r="O17" s="300">
        <v>3.8</v>
      </c>
      <c r="P17" s="529">
        <f t="shared" si="4"/>
        <v>3187.5</v>
      </c>
      <c r="Q17" s="529">
        <f t="shared" si="5"/>
        <v>265.625</v>
      </c>
      <c r="R17" s="529">
        <f t="shared" si="6"/>
        <v>796.875</v>
      </c>
      <c r="S17" s="529">
        <f t="shared" si="7"/>
        <v>36.801602982700672</v>
      </c>
      <c r="T17" s="529">
        <f t="shared" si="8"/>
        <v>110.40480894810202</v>
      </c>
      <c r="U17" s="529">
        <f t="shared" si="9"/>
        <v>907.27980894810207</v>
      </c>
      <c r="V17" s="529">
        <f t="shared" si="10"/>
        <v>33.203125</v>
      </c>
      <c r="W17" s="529">
        <f t="shared" si="11"/>
        <v>99.609375</v>
      </c>
      <c r="X17" s="291">
        <f t="shared" si="12"/>
        <v>0</v>
      </c>
      <c r="Y17" s="291">
        <f t="shared" si="13"/>
        <v>335.62972798270067</v>
      </c>
      <c r="Z17" s="335">
        <f t="shared" si="14"/>
        <v>1006.8891839481021</v>
      </c>
      <c r="AA17" s="334">
        <f>VLOOKUP(O17,'B.0.ConsumiblesMaquinaria'!C$7:D$16,2)</f>
        <v>3.5000000000000003E-2</v>
      </c>
      <c r="AB17" s="301">
        <f t="shared" si="15"/>
        <v>30.800000000000004</v>
      </c>
      <c r="AC17" s="301">
        <f>+'B.0.ConsumiblesMaquinaria'!J$25</f>
        <v>4.8</v>
      </c>
      <c r="AD17" s="301">
        <f>+ROUND(AA17*AR$1*AC17,2)</f>
        <v>0.84</v>
      </c>
      <c r="AE17" s="300">
        <f>0.45*AE$106</f>
        <v>0.36000000000000004</v>
      </c>
      <c r="AF17" s="300">
        <f t="shared" si="17"/>
        <v>316.8</v>
      </c>
      <c r="AG17" s="301">
        <f>+'B.0.ConsumiblesMaquinaria'!J$22</f>
        <v>1.7</v>
      </c>
      <c r="AH17" s="301">
        <f t="shared" si="18"/>
        <v>3.06</v>
      </c>
      <c r="AI17" s="301">
        <f t="shared" si="19"/>
        <v>3.9</v>
      </c>
      <c r="AJ17" s="300">
        <f t="shared" si="20"/>
        <v>2106</v>
      </c>
      <c r="AK17" s="304">
        <f t="shared" si="21"/>
        <v>0.10625000000000001</v>
      </c>
      <c r="AL17" s="300">
        <f t="shared" si="22"/>
        <v>57.375000000000014</v>
      </c>
      <c r="AM17" s="301">
        <f t="shared" si="23"/>
        <v>4.0062499999999996</v>
      </c>
      <c r="AN17" s="302">
        <v>180</v>
      </c>
      <c r="AO17" s="300">
        <f t="shared" si="24"/>
        <v>721.12499999999989</v>
      </c>
      <c r="AP17" s="303">
        <f t="shared" si="25"/>
        <v>2163.3749999999995</v>
      </c>
      <c r="AQ17" s="335">
        <f t="shared" si="26"/>
        <v>3170.2641839481016</v>
      </c>
    </row>
    <row r="18" spans="1:43">
      <c r="A18" s="307">
        <v>0</v>
      </c>
      <c r="B18" s="298" t="s">
        <v>418</v>
      </c>
      <c r="C18" s="299" t="s">
        <v>410</v>
      </c>
      <c r="D18" s="299" t="s">
        <v>419</v>
      </c>
      <c r="E18" s="529">
        <v>1061.25</v>
      </c>
      <c r="F18" s="525">
        <f t="shared" si="0"/>
        <v>1</v>
      </c>
      <c r="G18" s="529">
        <f t="shared" si="1"/>
        <v>1061.25</v>
      </c>
      <c r="H18" s="529"/>
      <c r="I18" s="300">
        <f t="shared" si="2"/>
        <v>880</v>
      </c>
      <c r="J18" s="300">
        <v>4</v>
      </c>
      <c r="K18" s="301"/>
      <c r="L18" s="302">
        <f t="shared" si="3"/>
        <v>2025</v>
      </c>
      <c r="M18" s="302">
        <f t="shared" si="3"/>
        <v>2033</v>
      </c>
      <c r="N18" s="302">
        <f t="shared" si="3"/>
        <v>8</v>
      </c>
      <c r="O18" s="300">
        <v>3</v>
      </c>
      <c r="P18" s="529">
        <f t="shared" si="4"/>
        <v>0</v>
      </c>
      <c r="Q18" s="529">
        <f t="shared" si="5"/>
        <v>0</v>
      </c>
      <c r="R18" s="529">
        <f t="shared" si="6"/>
        <v>0</v>
      </c>
      <c r="S18" s="529">
        <f t="shared" si="7"/>
        <v>0</v>
      </c>
      <c r="T18" s="529">
        <f t="shared" si="8"/>
        <v>0</v>
      </c>
      <c r="U18" s="529">
        <f t="shared" si="9"/>
        <v>0</v>
      </c>
      <c r="V18" s="529">
        <f t="shared" si="10"/>
        <v>0</v>
      </c>
      <c r="W18" s="529">
        <f t="shared" si="11"/>
        <v>0</v>
      </c>
      <c r="X18" s="291">
        <f t="shared" si="12"/>
        <v>0</v>
      </c>
      <c r="Y18" s="291">
        <f t="shared" si="13"/>
        <v>0</v>
      </c>
      <c r="Z18" s="335">
        <f t="shared" si="14"/>
        <v>0</v>
      </c>
      <c r="AA18" s="334">
        <f>VLOOKUP(O18,'B.0.ConsumiblesMaquinaria'!C$7:D$16,2)</f>
        <v>3.5000000000000003E-2</v>
      </c>
      <c r="AB18" s="301">
        <f t="shared" si="15"/>
        <v>0</v>
      </c>
      <c r="AC18" s="301">
        <f>+'B.0.ConsumiblesMaquinaria'!J$25</f>
        <v>4.8</v>
      </c>
      <c r="AD18" s="301">
        <f t="shared" si="16"/>
        <v>0.84</v>
      </c>
      <c r="AE18" s="300">
        <f>0.600000023841857*AE$106</f>
        <v>0.48000001907348566</v>
      </c>
      <c r="AF18" s="300">
        <f t="shared" si="17"/>
        <v>0</v>
      </c>
      <c r="AG18" s="301">
        <f>+'B.0.ConsumiblesMaquinaria'!J$22</f>
        <v>1.7</v>
      </c>
      <c r="AH18" s="301">
        <f t="shared" si="18"/>
        <v>0</v>
      </c>
      <c r="AI18" s="301">
        <f t="shared" si="19"/>
        <v>0.84</v>
      </c>
      <c r="AJ18" s="300">
        <f t="shared" si="20"/>
        <v>0</v>
      </c>
      <c r="AK18" s="304">
        <f t="shared" si="21"/>
        <v>0</v>
      </c>
      <c r="AL18" s="300">
        <f t="shared" si="22"/>
        <v>0</v>
      </c>
      <c r="AM18" s="301">
        <f t="shared" si="23"/>
        <v>0</v>
      </c>
      <c r="AN18" s="302">
        <v>180</v>
      </c>
      <c r="AO18" s="300">
        <f t="shared" si="24"/>
        <v>0</v>
      </c>
      <c r="AP18" s="303">
        <f t="shared" si="25"/>
        <v>0</v>
      </c>
      <c r="AQ18" s="335">
        <f t="shared" si="26"/>
        <v>0</v>
      </c>
    </row>
    <row r="19" spans="1:43">
      <c r="A19" s="307">
        <v>7</v>
      </c>
      <c r="B19" s="298" t="s">
        <v>420</v>
      </c>
      <c r="C19" s="299" t="s">
        <v>410</v>
      </c>
      <c r="D19" s="299" t="s">
        <v>421</v>
      </c>
      <c r="E19" s="529">
        <v>236.25</v>
      </c>
      <c r="F19" s="525">
        <f t="shared" si="0"/>
        <v>1</v>
      </c>
      <c r="G19" s="529">
        <f t="shared" si="1"/>
        <v>236.25</v>
      </c>
      <c r="H19" s="529"/>
      <c r="I19" s="300">
        <f t="shared" si="2"/>
        <v>880</v>
      </c>
      <c r="J19" s="300">
        <v>4</v>
      </c>
      <c r="K19" s="301"/>
      <c r="L19" s="302">
        <f t="shared" si="3"/>
        <v>2025</v>
      </c>
      <c r="M19" s="302">
        <f t="shared" si="3"/>
        <v>2033</v>
      </c>
      <c r="N19" s="302">
        <f t="shared" si="3"/>
        <v>8</v>
      </c>
      <c r="O19" s="300">
        <v>1</v>
      </c>
      <c r="P19" s="529">
        <f t="shared" si="4"/>
        <v>1653.75</v>
      </c>
      <c r="Q19" s="529">
        <f t="shared" si="5"/>
        <v>59.0625</v>
      </c>
      <c r="R19" s="529">
        <f t="shared" si="6"/>
        <v>413.4375</v>
      </c>
      <c r="S19" s="529">
        <f t="shared" si="7"/>
        <v>8.182944663212254</v>
      </c>
      <c r="T19" s="529">
        <f t="shared" si="8"/>
        <v>57.280612642485778</v>
      </c>
      <c r="U19" s="529">
        <f t="shared" si="9"/>
        <v>470.71811264248578</v>
      </c>
      <c r="V19" s="529">
        <f t="shared" si="10"/>
        <v>7.3828125</v>
      </c>
      <c r="W19" s="529">
        <f t="shared" si="11"/>
        <v>51.6796875</v>
      </c>
      <c r="X19" s="291">
        <f t="shared" si="12"/>
        <v>0</v>
      </c>
      <c r="Y19" s="291">
        <f t="shared" si="13"/>
        <v>74.628257163212254</v>
      </c>
      <c r="Z19" s="335">
        <f t="shared" si="14"/>
        <v>522.39780014248572</v>
      </c>
      <c r="AA19" s="334">
        <f>VLOOKUP(O19,'B.0.ConsumiblesMaquinaria'!C$7:D$16,2)</f>
        <v>3.5000000000000003E-2</v>
      </c>
      <c r="AB19" s="301">
        <f t="shared" si="15"/>
        <v>30.800000000000004</v>
      </c>
      <c r="AC19" s="301">
        <f>+'B.0.ConsumiblesMaquinaria'!J$25</f>
        <v>4.8</v>
      </c>
      <c r="AD19" s="301">
        <f t="shared" si="16"/>
        <v>0.84</v>
      </c>
      <c r="AE19" s="300">
        <f>0.400000005960464*AE$106</f>
        <v>0.3200000047683712</v>
      </c>
      <c r="AF19" s="300">
        <f t="shared" si="17"/>
        <v>281.60000000000002</v>
      </c>
      <c r="AG19" s="301">
        <f>+'B.0.ConsumiblesMaquinaria'!J$22</f>
        <v>1.7</v>
      </c>
      <c r="AH19" s="301">
        <f t="shared" si="18"/>
        <v>2.72</v>
      </c>
      <c r="AI19" s="301">
        <f t="shared" si="19"/>
        <v>3.56</v>
      </c>
      <c r="AJ19" s="300">
        <f t="shared" si="20"/>
        <v>4485.5999999999995</v>
      </c>
      <c r="AK19" s="304">
        <f t="shared" si="21"/>
        <v>2.3625E-2</v>
      </c>
      <c r="AL19" s="300">
        <f t="shared" si="22"/>
        <v>29.767500000000002</v>
      </c>
      <c r="AM19" s="301">
        <f t="shared" si="23"/>
        <v>3.5836250000000001</v>
      </c>
      <c r="AN19" s="302">
        <v>180</v>
      </c>
      <c r="AO19" s="300">
        <f t="shared" si="24"/>
        <v>645.05250000000001</v>
      </c>
      <c r="AP19" s="303">
        <f t="shared" si="25"/>
        <v>4515.3675000000003</v>
      </c>
      <c r="AQ19" s="335">
        <f t="shared" si="26"/>
        <v>5037.765300142486</v>
      </c>
    </row>
    <row r="20" spans="1:43">
      <c r="A20" s="307">
        <v>0</v>
      </c>
      <c r="B20" s="298" t="s">
        <v>422</v>
      </c>
      <c r="C20" s="299" t="s">
        <v>410</v>
      </c>
      <c r="D20" s="299" t="s">
        <v>421</v>
      </c>
      <c r="E20" s="529">
        <v>1500</v>
      </c>
      <c r="F20" s="525">
        <f t="shared" si="0"/>
        <v>1</v>
      </c>
      <c r="G20" s="529">
        <f t="shared" si="1"/>
        <v>1500</v>
      </c>
      <c r="H20" s="529"/>
      <c r="I20" s="300">
        <f>22*6*AR$1</f>
        <v>660</v>
      </c>
      <c r="J20" s="300">
        <v>4</v>
      </c>
      <c r="K20" s="301"/>
      <c r="L20" s="302">
        <f t="shared" si="3"/>
        <v>2025</v>
      </c>
      <c r="M20" s="302">
        <f t="shared" si="3"/>
        <v>2033</v>
      </c>
      <c r="N20" s="302">
        <f t="shared" si="3"/>
        <v>8</v>
      </c>
      <c r="O20" s="300">
        <v>1.5</v>
      </c>
      <c r="P20" s="529">
        <f t="shared" si="4"/>
        <v>0</v>
      </c>
      <c r="Q20" s="529">
        <f t="shared" si="5"/>
        <v>0</v>
      </c>
      <c r="R20" s="529">
        <f t="shared" si="6"/>
        <v>0</v>
      </c>
      <c r="S20" s="529">
        <f t="shared" si="7"/>
        <v>0</v>
      </c>
      <c r="T20" s="529">
        <f t="shared" si="8"/>
        <v>0</v>
      </c>
      <c r="U20" s="529">
        <f t="shared" si="9"/>
        <v>0</v>
      </c>
      <c r="V20" s="529">
        <f t="shared" si="10"/>
        <v>0</v>
      </c>
      <c r="W20" s="529">
        <f t="shared" si="11"/>
        <v>0</v>
      </c>
      <c r="X20" s="291">
        <f t="shared" si="12"/>
        <v>0</v>
      </c>
      <c r="Y20" s="291">
        <f t="shared" si="13"/>
        <v>0</v>
      </c>
      <c r="Z20" s="335">
        <f t="shared" si="14"/>
        <v>0</v>
      </c>
      <c r="AA20" s="334">
        <f>VLOOKUP(O20,'B.0.ConsumiblesMaquinaria'!C$7:D$16,2)</f>
        <v>3.5000000000000003E-2</v>
      </c>
      <c r="AB20" s="301">
        <f t="shared" si="15"/>
        <v>0</v>
      </c>
      <c r="AC20" s="301">
        <f>+'B.0.ConsumiblesMaquinaria'!J$25</f>
        <v>4.8</v>
      </c>
      <c r="AD20" s="301">
        <f>+ROUND(AA20*AR$1*AC20,2)</f>
        <v>0.84</v>
      </c>
      <c r="AE20" s="300">
        <f>1*AE$106</f>
        <v>0.8</v>
      </c>
      <c r="AF20" s="300">
        <f t="shared" si="17"/>
        <v>0</v>
      </c>
      <c r="AG20" s="301">
        <f>+'B.0.ConsumiblesMaquinaria'!J$22</f>
        <v>1.7</v>
      </c>
      <c r="AH20" s="301">
        <f t="shared" si="18"/>
        <v>0</v>
      </c>
      <c r="AI20" s="301">
        <f t="shared" si="19"/>
        <v>0.84</v>
      </c>
      <c r="AJ20" s="300">
        <f t="shared" si="20"/>
        <v>0</v>
      </c>
      <c r="AK20" s="304">
        <f t="shared" si="21"/>
        <v>0</v>
      </c>
      <c r="AL20" s="300">
        <f t="shared" si="22"/>
        <v>0</v>
      </c>
      <c r="AM20" s="301">
        <f t="shared" si="23"/>
        <v>0</v>
      </c>
      <c r="AN20" s="302">
        <v>180</v>
      </c>
      <c r="AO20" s="300">
        <f t="shared" si="24"/>
        <v>0</v>
      </c>
      <c r="AP20" s="303">
        <f t="shared" si="25"/>
        <v>0</v>
      </c>
      <c r="AQ20" s="335">
        <f t="shared" si="26"/>
        <v>0</v>
      </c>
    </row>
    <row r="21" spans="1:43">
      <c r="A21" s="307">
        <v>1</v>
      </c>
      <c r="B21" s="298" t="s">
        <v>423</v>
      </c>
      <c r="C21" s="299" t="s">
        <v>410</v>
      </c>
      <c r="D21" s="299" t="s">
        <v>424</v>
      </c>
      <c r="E21" s="529">
        <v>7780</v>
      </c>
      <c r="F21" s="525">
        <f t="shared" si="0"/>
        <v>1</v>
      </c>
      <c r="G21" s="529">
        <f t="shared" si="1"/>
        <v>7780</v>
      </c>
      <c r="H21" s="529"/>
      <c r="I21" s="300">
        <f>22*3*AR$1</f>
        <v>330</v>
      </c>
      <c r="J21" s="300">
        <v>4</v>
      </c>
      <c r="K21" s="301"/>
      <c r="L21" s="302">
        <f t="shared" si="3"/>
        <v>2025</v>
      </c>
      <c r="M21" s="302">
        <f t="shared" si="3"/>
        <v>2033</v>
      </c>
      <c r="N21" s="302">
        <f t="shared" si="3"/>
        <v>8</v>
      </c>
      <c r="O21" s="300">
        <v>6</v>
      </c>
      <c r="P21" s="529">
        <f t="shared" si="4"/>
        <v>7780</v>
      </c>
      <c r="Q21" s="529">
        <f t="shared" si="5"/>
        <v>1945</v>
      </c>
      <c r="R21" s="529">
        <f t="shared" si="6"/>
        <v>1945</v>
      </c>
      <c r="S21" s="529">
        <f t="shared" si="7"/>
        <v>269.47432584038688</v>
      </c>
      <c r="T21" s="529">
        <f t="shared" si="8"/>
        <v>269.47432584038688</v>
      </c>
      <c r="U21" s="529">
        <f t="shared" si="9"/>
        <v>2214.4743258403869</v>
      </c>
      <c r="V21" s="529">
        <f t="shared" si="10"/>
        <v>243.125</v>
      </c>
      <c r="W21" s="529">
        <f t="shared" si="11"/>
        <v>243.125</v>
      </c>
      <c r="X21" s="291">
        <f t="shared" si="12"/>
        <v>0</v>
      </c>
      <c r="Y21" s="291">
        <f t="shared" si="13"/>
        <v>2457.5993258403869</v>
      </c>
      <c r="Z21" s="335">
        <f t="shared" si="14"/>
        <v>2457.5993258403869</v>
      </c>
      <c r="AA21" s="334">
        <f>VLOOKUP(O21,'B.0.ConsumiblesMaquinaria'!C$7:D$16,2)</f>
        <v>3.5000000000000003E-2</v>
      </c>
      <c r="AB21" s="301">
        <f t="shared" si="15"/>
        <v>11.55</v>
      </c>
      <c r="AC21" s="301">
        <f>+'B.0.ConsumiblesMaquinaria'!J$25</f>
        <v>4.8</v>
      </c>
      <c r="AD21" s="301">
        <f t="shared" si="16"/>
        <v>0.84</v>
      </c>
      <c r="AE21" s="300">
        <f>0.400000005960464*AE$106</f>
        <v>0.3200000047683712</v>
      </c>
      <c r="AF21" s="300">
        <f t="shared" si="17"/>
        <v>105.6</v>
      </c>
      <c r="AG21" s="301">
        <f>+'B.0.ConsumiblesMaquinaria'!J$22</f>
        <v>1.7</v>
      </c>
      <c r="AH21" s="301">
        <f t="shared" si="18"/>
        <v>2.72</v>
      </c>
      <c r="AI21" s="301">
        <f t="shared" si="19"/>
        <v>3.56</v>
      </c>
      <c r="AJ21" s="300">
        <f t="shared" si="20"/>
        <v>640.79999999999995</v>
      </c>
      <c r="AK21" s="304">
        <f t="shared" si="21"/>
        <v>0.77800000000000002</v>
      </c>
      <c r="AL21" s="300">
        <f t="shared" si="22"/>
        <v>140.04</v>
      </c>
      <c r="AM21" s="301">
        <f t="shared" si="23"/>
        <v>4.3380000000000001</v>
      </c>
      <c r="AN21" s="302">
        <v>180</v>
      </c>
      <c r="AO21" s="300">
        <f t="shared" si="24"/>
        <v>780.84</v>
      </c>
      <c r="AP21" s="303">
        <f t="shared" si="25"/>
        <v>780.84</v>
      </c>
      <c r="AQ21" s="335">
        <f t="shared" si="26"/>
        <v>3238.439325840387</v>
      </c>
    </row>
    <row r="22" spans="1:43">
      <c r="A22" s="307">
        <v>1</v>
      </c>
      <c r="B22" s="298" t="s">
        <v>425</v>
      </c>
      <c r="C22" s="299" t="s">
        <v>410</v>
      </c>
      <c r="D22" s="299" t="s">
        <v>426</v>
      </c>
      <c r="E22" s="529">
        <v>2625</v>
      </c>
      <c r="F22" s="525">
        <f t="shared" si="0"/>
        <v>1</v>
      </c>
      <c r="G22" s="529">
        <f t="shared" si="1"/>
        <v>2625</v>
      </c>
      <c r="H22" s="529"/>
      <c r="I22" s="300">
        <f>22*3*AR$1</f>
        <v>330</v>
      </c>
      <c r="J22" s="300">
        <v>4</v>
      </c>
      <c r="K22" s="301"/>
      <c r="L22" s="302">
        <f t="shared" si="3"/>
        <v>2025</v>
      </c>
      <c r="M22" s="302">
        <f t="shared" si="3"/>
        <v>2033</v>
      </c>
      <c r="N22" s="302">
        <f t="shared" si="3"/>
        <v>8</v>
      </c>
      <c r="O22" s="300">
        <v>5</v>
      </c>
      <c r="P22" s="529">
        <f t="shared" si="4"/>
        <v>2625</v>
      </c>
      <c r="Q22" s="529">
        <f t="shared" si="5"/>
        <v>656.25</v>
      </c>
      <c r="R22" s="529">
        <f t="shared" si="6"/>
        <v>656.25</v>
      </c>
      <c r="S22" s="529">
        <f t="shared" si="7"/>
        <v>90.921607369025082</v>
      </c>
      <c r="T22" s="529">
        <f t="shared" si="8"/>
        <v>90.921607369025082</v>
      </c>
      <c r="U22" s="529">
        <f t="shared" si="9"/>
        <v>747.17160736902508</v>
      </c>
      <c r="V22" s="529">
        <f t="shared" si="10"/>
        <v>82.03125</v>
      </c>
      <c r="W22" s="529">
        <f t="shared" si="11"/>
        <v>82.03125</v>
      </c>
      <c r="X22" s="291">
        <f t="shared" si="12"/>
        <v>0</v>
      </c>
      <c r="Y22" s="291">
        <f t="shared" si="13"/>
        <v>829.20285736902508</v>
      </c>
      <c r="Z22" s="335">
        <f t="shared" si="14"/>
        <v>829.20285736902508</v>
      </c>
      <c r="AA22" s="334">
        <f>VLOOKUP(O22,'B.0.ConsumiblesMaquinaria'!C$7:D$16,2)</f>
        <v>3.5000000000000003E-2</v>
      </c>
      <c r="AB22" s="301">
        <f t="shared" si="15"/>
        <v>11.55</v>
      </c>
      <c r="AC22" s="301">
        <f>+'B.0.ConsumiblesMaquinaria'!J$25</f>
        <v>4.8</v>
      </c>
      <c r="AD22" s="301">
        <f t="shared" si="16"/>
        <v>0.84</v>
      </c>
      <c r="AE22" s="300">
        <f>0.5*AE$106</f>
        <v>0.4</v>
      </c>
      <c r="AF22" s="300">
        <f t="shared" si="17"/>
        <v>132</v>
      </c>
      <c r="AG22" s="301">
        <f>+'B.0.ConsumiblesMaquinaria'!J$22</f>
        <v>1.7</v>
      </c>
      <c r="AH22" s="301">
        <f t="shared" si="18"/>
        <v>3.4</v>
      </c>
      <c r="AI22" s="301">
        <f t="shared" si="19"/>
        <v>4.24</v>
      </c>
      <c r="AJ22" s="300">
        <f t="shared" si="20"/>
        <v>763.2</v>
      </c>
      <c r="AK22" s="304">
        <f t="shared" si="21"/>
        <v>0.26250000000000001</v>
      </c>
      <c r="AL22" s="300">
        <f t="shared" si="22"/>
        <v>47.25</v>
      </c>
      <c r="AM22" s="301">
        <f t="shared" si="23"/>
        <v>4.5025000000000004</v>
      </c>
      <c r="AN22" s="302">
        <v>180</v>
      </c>
      <c r="AO22" s="300">
        <f t="shared" si="24"/>
        <v>810.45</v>
      </c>
      <c r="AP22" s="303">
        <f t="shared" si="25"/>
        <v>810.45</v>
      </c>
      <c r="AQ22" s="335">
        <f t="shared" si="26"/>
        <v>1639.6528573690252</v>
      </c>
    </row>
    <row r="23" spans="1:43">
      <c r="A23" s="307">
        <v>0</v>
      </c>
      <c r="B23" s="298" t="s">
        <v>427</v>
      </c>
      <c r="C23" s="299" t="s">
        <v>410</v>
      </c>
      <c r="D23" s="299" t="s">
        <v>400</v>
      </c>
      <c r="E23" s="529">
        <v>2625</v>
      </c>
      <c r="F23" s="525">
        <f t="shared" si="0"/>
        <v>1</v>
      </c>
      <c r="G23" s="529">
        <f t="shared" si="1"/>
        <v>2625</v>
      </c>
      <c r="H23" s="529"/>
      <c r="I23" s="300">
        <f>22*4*AR$1</f>
        <v>440</v>
      </c>
      <c r="J23" s="300">
        <v>4</v>
      </c>
      <c r="K23" s="301"/>
      <c r="L23" s="302">
        <f t="shared" si="3"/>
        <v>2025</v>
      </c>
      <c r="M23" s="302">
        <f t="shared" si="3"/>
        <v>2033</v>
      </c>
      <c r="N23" s="302">
        <f t="shared" si="3"/>
        <v>8</v>
      </c>
      <c r="O23" s="300">
        <v>7</v>
      </c>
      <c r="P23" s="529">
        <f t="shared" si="4"/>
        <v>0</v>
      </c>
      <c r="Q23" s="529">
        <f t="shared" si="5"/>
        <v>0</v>
      </c>
      <c r="R23" s="529">
        <f t="shared" si="6"/>
        <v>0</v>
      </c>
      <c r="S23" s="529">
        <f t="shared" si="7"/>
        <v>0</v>
      </c>
      <c r="T23" s="529">
        <f t="shared" si="8"/>
        <v>0</v>
      </c>
      <c r="U23" s="529">
        <f t="shared" si="9"/>
        <v>0</v>
      </c>
      <c r="V23" s="529">
        <f t="shared" si="10"/>
        <v>0</v>
      </c>
      <c r="W23" s="529">
        <f t="shared" si="11"/>
        <v>0</v>
      </c>
      <c r="X23" s="291">
        <f t="shared" si="12"/>
        <v>0</v>
      </c>
      <c r="Y23" s="291">
        <f t="shared" si="13"/>
        <v>0</v>
      </c>
      <c r="Z23" s="335">
        <f t="shared" si="14"/>
        <v>0</v>
      </c>
      <c r="AA23" s="334">
        <f>VLOOKUP(O23,'B.0.ConsumiblesMaquinaria'!C$7:D$16,2)</f>
        <v>3.5000000000000003E-2</v>
      </c>
      <c r="AB23" s="301">
        <f t="shared" si="15"/>
        <v>0</v>
      </c>
      <c r="AC23" s="301">
        <f>+'B.0.ConsumiblesMaquinaria'!J$25</f>
        <v>4.8</v>
      </c>
      <c r="AD23" s="301">
        <f>+ROUND(AA23*AR$1*AC23,2)</f>
        <v>0.84</v>
      </c>
      <c r="AE23" s="300">
        <f>0.5*AE$106</f>
        <v>0.4</v>
      </c>
      <c r="AF23" s="300">
        <f t="shared" si="17"/>
        <v>0</v>
      </c>
      <c r="AG23" s="301">
        <f>+'B.0.ConsumiblesMaquinaria'!J$22</f>
        <v>1.7</v>
      </c>
      <c r="AH23" s="301">
        <f t="shared" si="18"/>
        <v>0</v>
      </c>
      <c r="AI23" s="301">
        <f t="shared" si="19"/>
        <v>0.84</v>
      </c>
      <c r="AJ23" s="300">
        <f t="shared" si="20"/>
        <v>0</v>
      </c>
      <c r="AK23" s="304">
        <f t="shared" si="21"/>
        <v>0</v>
      </c>
      <c r="AL23" s="300">
        <f t="shared" si="22"/>
        <v>0</v>
      </c>
      <c r="AM23" s="301">
        <f t="shared" si="23"/>
        <v>0</v>
      </c>
      <c r="AN23" s="302">
        <v>180</v>
      </c>
      <c r="AO23" s="300">
        <f t="shared" si="24"/>
        <v>0</v>
      </c>
      <c r="AP23" s="303">
        <f t="shared" si="25"/>
        <v>0</v>
      </c>
      <c r="AQ23" s="335">
        <f t="shared" si="26"/>
        <v>0</v>
      </c>
    </row>
    <row r="24" spans="1:43">
      <c r="A24" s="307">
        <v>0</v>
      </c>
      <c r="B24" s="298" t="s">
        <v>428</v>
      </c>
      <c r="C24" s="299"/>
      <c r="D24" s="299" t="s">
        <v>429</v>
      </c>
      <c r="E24" s="529">
        <v>2187.5</v>
      </c>
      <c r="F24" s="525">
        <f t="shared" si="0"/>
        <v>1</v>
      </c>
      <c r="G24" s="529">
        <f t="shared" si="1"/>
        <v>2187.5</v>
      </c>
      <c r="H24" s="529"/>
      <c r="I24" s="300">
        <f>22*2*AR$1</f>
        <v>220</v>
      </c>
      <c r="J24" s="300">
        <v>4</v>
      </c>
      <c r="K24" s="301"/>
      <c r="L24" s="302">
        <f t="shared" si="3"/>
        <v>2025</v>
      </c>
      <c r="M24" s="302">
        <f t="shared" si="3"/>
        <v>2033</v>
      </c>
      <c r="N24" s="302">
        <f t="shared" si="3"/>
        <v>8</v>
      </c>
      <c r="O24" s="300">
        <v>1</v>
      </c>
      <c r="P24" s="529">
        <f t="shared" si="4"/>
        <v>0</v>
      </c>
      <c r="Q24" s="529">
        <f t="shared" si="5"/>
        <v>0</v>
      </c>
      <c r="R24" s="529">
        <f t="shared" si="6"/>
        <v>0</v>
      </c>
      <c r="S24" s="529">
        <f t="shared" si="7"/>
        <v>0</v>
      </c>
      <c r="T24" s="529">
        <f t="shared" si="8"/>
        <v>0</v>
      </c>
      <c r="U24" s="529">
        <f t="shared" si="9"/>
        <v>0</v>
      </c>
      <c r="V24" s="529">
        <f t="shared" si="10"/>
        <v>0</v>
      </c>
      <c r="W24" s="529">
        <f t="shared" si="11"/>
        <v>0</v>
      </c>
      <c r="X24" s="291">
        <f t="shared" si="12"/>
        <v>0</v>
      </c>
      <c r="Y24" s="291">
        <f t="shared" si="13"/>
        <v>0</v>
      </c>
      <c r="Z24" s="335">
        <f t="shared" si="14"/>
        <v>0</v>
      </c>
      <c r="AA24" s="334">
        <v>0</v>
      </c>
      <c r="AB24" s="301">
        <f t="shared" si="15"/>
        <v>0</v>
      </c>
      <c r="AC24" s="301">
        <v>0</v>
      </c>
      <c r="AD24" s="301">
        <f t="shared" si="16"/>
        <v>0</v>
      </c>
      <c r="AE24" s="300">
        <f>1.5*AE$106</f>
        <v>1.2000000000000002</v>
      </c>
      <c r="AF24" s="300">
        <f t="shared" si="17"/>
        <v>0</v>
      </c>
      <c r="AG24" s="301">
        <f>+'B.0.ConsumiblesMaquinaria'!J$22</f>
        <v>1.7</v>
      </c>
      <c r="AH24" s="301">
        <f t="shared" si="18"/>
        <v>0</v>
      </c>
      <c r="AI24" s="301">
        <f t="shared" si="19"/>
        <v>0</v>
      </c>
      <c r="AJ24" s="300">
        <f t="shared" si="20"/>
        <v>0</v>
      </c>
      <c r="AK24" s="304">
        <f t="shared" si="21"/>
        <v>0</v>
      </c>
      <c r="AL24" s="300">
        <f t="shared" si="22"/>
        <v>0</v>
      </c>
      <c r="AM24" s="301">
        <f t="shared" si="23"/>
        <v>0</v>
      </c>
      <c r="AN24" s="302">
        <v>180</v>
      </c>
      <c r="AO24" s="300">
        <f t="shared" si="24"/>
        <v>0</v>
      </c>
      <c r="AP24" s="303">
        <f t="shared" si="25"/>
        <v>0</v>
      </c>
      <c r="AQ24" s="335">
        <f t="shared" si="26"/>
        <v>0</v>
      </c>
    </row>
    <row r="25" spans="1:43">
      <c r="A25" s="307">
        <v>0</v>
      </c>
      <c r="B25" s="325" t="s">
        <v>430</v>
      </c>
      <c r="C25" s="326"/>
      <c r="D25" s="326" t="s">
        <v>431</v>
      </c>
      <c r="E25" s="530">
        <v>1112.5</v>
      </c>
      <c r="F25" s="525">
        <f t="shared" si="0"/>
        <v>1</v>
      </c>
      <c r="G25" s="530">
        <f t="shared" si="1"/>
        <v>1112.5</v>
      </c>
      <c r="H25" s="530"/>
      <c r="I25" s="327">
        <f>22*2*AR$1</f>
        <v>220</v>
      </c>
      <c r="J25" s="327">
        <v>4</v>
      </c>
      <c r="K25" s="328"/>
      <c r="L25" s="329">
        <f t="shared" si="3"/>
        <v>2025</v>
      </c>
      <c r="M25" s="329">
        <f t="shared" si="3"/>
        <v>2033</v>
      </c>
      <c r="N25" s="329">
        <f t="shared" si="3"/>
        <v>8</v>
      </c>
      <c r="O25" s="327">
        <v>0</v>
      </c>
      <c r="P25" s="530">
        <f t="shared" si="4"/>
        <v>0</v>
      </c>
      <c r="Q25" s="530">
        <f t="shared" si="5"/>
        <v>0</v>
      </c>
      <c r="R25" s="530">
        <f t="shared" si="6"/>
        <v>0</v>
      </c>
      <c r="S25" s="530">
        <f t="shared" si="7"/>
        <v>0</v>
      </c>
      <c r="T25" s="530">
        <f t="shared" si="8"/>
        <v>0</v>
      </c>
      <c r="U25" s="530">
        <f t="shared" si="9"/>
        <v>0</v>
      </c>
      <c r="V25" s="530">
        <f t="shared" si="10"/>
        <v>0</v>
      </c>
      <c r="W25" s="530">
        <f t="shared" si="11"/>
        <v>0</v>
      </c>
      <c r="X25" s="310">
        <f t="shared" si="12"/>
        <v>0</v>
      </c>
      <c r="Y25" s="310">
        <f t="shared" si="13"/>
        <v>0</v>
      </c>
      <c r="Z25" s="339">
        <f t="shared" si="14"/>
        <v>0</v>
      </c>
      <c r="AA25" s="336">
        <v>0</v>
      </c>
      <c r="AB25" s="328">
        <f t="shared" si="15"/>
        <v>0</v>
      </c>
      <c r="AC25" s="328">
        <v>0</v>
      </c>
      <c r="AD25" s="328">
        <f t="shared" si="16"/>
        <v>0</v>
      </c>
      <c r="AE25" s="327">
        <f>0*AE$106</f>
        <v>0</v>
      </c>
      <c r="AF25" s="327">
        <f t="shared" si="17"/>
        <v>0</v>
      </c>
      <c r="AG25" s="328">
        <f>+'B.0.ConsumiblesMaquinaria'!J$22</f>
        <v>1.7</v>
      </c>
      <c r="AH25" s="328">
        <f t="shared" si="18"/>
        <v>0</v>
      </c>
      <c r="AI25" s="328">
        <f t="shared" si="19"/>
        <v>0</v>
      </c>
      <c r="AJ25" s="327">
        <f t="shared" si="20"/>
        <v>0</v>
      </c>
      <c r="AK25" s="337">
        <f t="shared" si="21"/>
        <v>0</v>
      </c>
      <c r="AL25" s="327">
        <f t="shared" si="22"/>
        <v>0</v>
      </c>
      <c r="AM25" s="328">
        <f t="shared" si="23"/>
        <v>0</v>
      </c>
      <c r="AN25" s="329">
        <v>180</v>
      </c>
      <c r="AO25" s="327">
        <f t="shared" si="24"/>
        <v>0</v>
      </c>
      <c r="AP25" s="338">
        <f t="shared" si="25"/>
        <v>0</v>
      </c>
      <c r="AQ25" s="339">
        <f t="shared" si="26"/>
        <v>0</v>
      </c>
    </row>
    <row r="26" spans="1:43">
      <c r="A26" s="819" t="s">
        <v>432</v>
      </c>
      <c r="B26" s="820"/>
      <c r="C26" s="820"/>
      <c r="D26" s="93"/>
      <c r="E26" s="531"/>
      <c r="F26" s="93"/>
      <c r="G26" s="93"/>
      <c r="H26" s="532"/>
      <c r="I26" s="93"/>
      <c r="J26" s="93"/>
      <c r="K26" s="93"/>
      <c r="L26" s="96"/>
      <c r="M26" s="96"/>
      <c r="N26" s="96"/>
      <c r="O26" s="93"/>
      <c r="P26" s="531"/>
      <c r="Q26" s="531"/>
      <c r="R26" s="531"/>
      <c r="S26" s="531"/>
      <c r="T26" s="531"/>
      <c r="U26" s="531"/>
      <c r="V26" s="531"/>
      <c r="W26" s="531"/>
      <c r="X26" s="531"/>
      <c r="Y26" s="531"/>
      <c r="Z26" s="531"/>
      <c r="AA26" s="93"/>
      <c r="AB26" s="93"/>
      <c r="AC26" s="93"/>
      <c r="AD26" s="93"/>
      <c r="AE26" s="93"/>
      <c r="AF26" s="93"/>
      <c r="AG26" s="93"/>
      <c r="AH26" s="93"/>
      <c r="AI26" s="93"/>
      <c r="AJ26" s="431"/>
      <c r="AK26" s="93"/>
      <c r="AL26" s="431"/>
      <c r="AM26" s="93"/>
      <c r="AN26" s="93"/>
      <c r="AO26" s="93"/>
      <c r="AP26" s="93"/>
      <c r="AQ26" s="342"/>
    </row>
    <row r="27" spans="1:43">
      <c r="A27" s="307">
        <v>0</v>
      </c>
      <c r="B27" s="320" t="s">
        <v>433</v>
      </c>
      <c r="C27" s="321" t="s">
        <v>399</v>
      </c>
      <c r="D27" s="321" t="s">
        <v>434</v>
      </c>
      <c r="E27" s="528">
        <v>862.5</v>
      </c>
      <c r="F27" s="524">
        <f t="shared" ref="F27:F30" si="27">$F$6</f>
        <v>1</v>
      </c>
      <c r="G27" s="528">
        <f t="shared" ref="G27:G30" si="28">E27*F27</f>
        <v>862.5</v>
      </c>
      <c r="H27" s="528"/>
      <c r="I27" s="322">
        <f>22*4*AR$1</f>
        <v>440</v>
      </c>
      <c r="J27" s="322">
        <v>4</v>
      </c>
      <c r="K27" s="323"/>
      <c r="L27" s="324">
        <f t="shared" ref="L27:N30" si="29">L$4</f>
        <v>2025</v>
      </c>
      <c r="M27" s="324">
        <f t="shared" si="29"/>
        <v>2033</v>
      </c>
      <c r="N27" s="324">
        <f t="shared" si="29"/>
        <v>8</v>
      </c>
      <c r="O27" s="322">
        <v>2</v>
      </c>
      <c r="P27" s="528">
        <f t="shared" ref="P27:P30" si="30">E27*A27</f>
        <v>0</v>
      </c>
      <c r="Q27" s="528">
        <f>IF(A27&gt;0,E27/J27,0)</f>
        <v>0</v>
      </c>
      <c r="R27" s="528">
        <f>Q27*A27</f>
        <v>0</v>
      </c>
      <c r="S27" s="528">
        <f t="shared" ref="S27:S30" si="31">IF(A27=0,0,PMT($S$6,J27,-G27))-Q27</f>
        <v>0</v>
      </c>
      <c r="T27" s="528">
        <f t="shared" ref="T27:T30" si="32">S27*A27</f>
        <v>0</v>
      </c>
      <c r="U27" s="528">
        <f t="shared" ref="U27:U30" si="33">(S27+Q27)*A27</f>
        <v>0</v>
      </c>
      <c r="V27" s="528">
        <f t="shared" si="10"/>
        <v>0</v>
      </c>
      <c r="W27" s="528">
        <f>V27*A27</f>
        <v>0</v>
      </c>
      <c r="X27" s="306">
        <f t="shared" si="12"/>
        <v>0</v>
      </c>
      <c r="Y27" s="306">
        <f>IF(A27&gt;0,(Q27+S27+V27),0)</f>
        <v>0</v>
      </c>
      <c r="Z27" s="333">
        <f>(Q27+S27+V27)*A27</f>
        <v>0</v>
      </c>
      <c r="AA27" s="330">
        <f>VLOOKUP(O27,'B.0.ConsumiblesMaquinaria'!C$7:D$16,2)</f>
        <v>3.5000000000000003E-2</v>
      </c>
      <c r="AB27" s="323">
        <f t="shared" si="15"/>
        <v>0</v>
      </c>
      <c r="AC27" s="323">
        <f>+'B.0.ConsumiblesMaquinaria'!J$24</f>
        <v>9.879999999999999</v>
      </c>
      <c r="AD27" s="323">
        <f>+ROUND(AA27*AR$1*AC27,2)</f>
        <v>1.73</v>
      </c>
      <c r="AE27" s="322">
        <f>0.300000011920929*AE$106</f>
        <v>0.24000000953674322</v>
      </c>
      <c r="AF27" s="322">
        <f t="shared" si="17"/>
        <v>0</v>
      </c>
      <c r="AG27" s="323">
        <f>+'B.0.ConsumiblesMaquinaria'!J$22</f>
        <v>1.7</v>
      </c>
      <c r="AH27" s="323">
        <f t="shared" si="18"/>
        <v>0</v>
      </c>
      <c r="AI27" s="323">
        <f>AH27+AD27</f>
        <v>1.73</v>
      </c>
      <c r="AJ27" s="322">
        <f>(AI27*AN27)*A27</f>
        <v>0</v>
      </c>
      <c r="AK27" s="331">
        <f t="shared" si="21"/>
        <v>0</v>
      </c>
      <c r="AL27" s="322">
        <f>(AK27*AN27)*A27</f>
        <v>0</v>
      </c>
      <c r="AM27" s="323">
        <f>IF(A27&gt;0,(AH27+AD27+AK27),0)</f>
        <v>0</v>
      </c>
      <c r="AN27" s="324">
        <v>90</v>
      </c>
      <c r="AO27" s="322">
        <f>AN27*AM27</f>
        <v>0</v>
      </c>
      <c r="AP27" s="332">
        <f>AO27*A27</f>
        <v>0</v>
      </c>
      <c r="AQ27" s="333">
        <f>AP27+Z27</f>
        <v>0</v>
      </c>
    </row>
    <row r="28" spans="1:43">
      <c r="A28" s="307">
        <v>4</v>
      </c>
      <c r="B28" s="298" t="s">
        <v>435</v>
      </c>
      <c r="C28" s="299" t="s">
        <v>399</v>
      </c>
      <c r="D28" s="299" t="s">
        <v>436</v>
      </c>
      <c r="E28" s="529">
        <v>3200</v>
      </c>
      <c r="F28" s="525">
        <f t="shared" si="27"/>
        <v>1</v>
      </c>
      <c r="G28" s="529">
        <f t="shared" si="28"/>
        <v>3200</v>
      </c>
      <c r="H28" s="529"/>
      <c r="I28" s="300">
        <f t="shared" si="2"/>
        <v>880</v>
      </c>
      <c r="J28" s="300">
        <v>4</v>
      </c>
      <c r="K28" s="301"/>
      <c r="L28" s="302">
        <f t="shared" si="29"/>
        <v>2025</v>
      </c>
      <c r="M28" s="302">
        <f t="shared" si="29"/>
        <v>2033</v>
      </c>
      <c r="N28" s="302">
        <f t="shared" si="29"/>
        <v>8</v>
      </c>
      <c r="O28" s="300">
        <v>5.5</v>
      </c>
      <c r="P28" s="529">
        <f t="shared" si="30"/>
        <v>12800</v>
      </c>
      <c r="Q28" s="529">
        <f>IF(A28&gt;0,E28/J28,0)</f>
        <v>800</v>
      </c>
      <c r="R28" s="529">
        <f>Q28*A28</f>
        <v>3200</v>
      </c>
      <c r="S28" s="529">
        <f t="shared" si="31"/>
        <v>110.83776898319252</v>
      </c>
      <c r="T28" s="529">
        <f t="shared" si="32"/>
        <v>443.35107593277007</v>
      </c>
      <c r="U28" s="529">
        <f t="shared" si="33"/>
        <v>3643.3510759327701</v>
      </c>
      <c r="V28" s="529">
        <f t="shared" si="10"/>
        <v>100</v>
      </c>
      <c r="W28" s="529">
        <f>V28*A28</f>
        <v>400</v>
      </c>
      <c r="X28" s="291">
        <f t="shared" si="12"/>
        <v>0</v>
      </c>
      <c r="Y28" s="291">
        <f>IF(A28&gt;0,(Q28+S28+V28),0)</f>
        <v>1010.8377689831925</v>
      </c>
      <c r="Z28" s="335">
        <f>(Q28+S28+V28)*A28</f>
        <v>4043.3510759327701</v>
      </c>
      <c r="AA28" s="334">
        <f>VLOOKUP(O28,'B.0.ConsumiblesMaquinaria'!C$7:D$16,2)</f>
        <v>3.5000000000000003E-2</v>
      </c>
      <c r="AB28" s="301">
        <f t="shared" si="15"/>
        <v>30.800000000000004</v>
      </c>
      <c r="AC28" s="301">
        <f>+'B.0.ConsumiblesMaquinaria'!J$24</f>
        <v>9.879999999999999</v>
      </c>
      <c r="AD28" s="301">
        <f>+ROUND(AA28*AR$1*AC28,2)</f>
        <v>1.73</v>
      </c>
      <c r="AE28" s="300">
        <f>1.29999995231628*AE$106</f>
        <v>1.039999961853024</v>
      </c>
      <c r="AF28" s="300">
        <f t="shared" si="17"/>
        <v>915.2</v>
      </c>
      <c r="AG28" s="301">
        <f>+'B.0.ConsumiblesMaquinaria'!J$22</f>
        <v>1.7</v>
      </c>
      <c r="AH28" s="301">
        <f t="shared" si="18"/>
        <v>8.84</v>
      </c>
      <c r="AI28" s="301">
        <f>AH28+AD28</f>
        <v>10.57</v>
      </c>
      <c r="AJ28" s="300">
        <f>(AI28*AN28)*A28</f>
        <v>3805.2000000000003</v>
      </c>
      <c r="AK28" s="304">
        <f t="shared" si="21"/>
        <v>0.32</v>
      </c>
      <c r="AL28" s="300">
        <f>(AK28*AN28)*A28</f>
        <v>115.2</v>
      </c>
      <c r="AM28" s="301">
        <f>IF(A28&gt;0,(AH28+AD28+AK28),0)</f>
        <v>10.89</v>
      </c>
      <c r="AN28" s="302">
        <v>90</v>
      </c>
      <c r="AO28" s="300">
        <f>AN28*AM28</f>
        <v>980.1</v>
      </c>
      <c r="AP28" s="303">
        <f>AO28*A28</f>
        <v>3920.4</v>
      </c>
      <c r="AQ28" s="335">
        <f>AP28+Z28</f>
        <v>7963.7510759327706</v>
      </c>
    </row>
    <row r="29" spans="1:43">
      <c r="A29" s="307">
        <v>2</v>
      </c>
      <c r="B29" s="298" t="s">
        <v>437</v>
      </c>
      <c r="C29" s="299" t="s">
        <v>399</v>
      </c>
      <c r="D29" s="299" t="s">
        <v>438</v>
      </c>
      <c r="E29" s="529">
        <v>4125</v>
      </c>
      <c r="F29" s="525">
        <f t="shared" si="27"/>
        <v>1</v>
      </c>
      <c r="G29" s="529">
        <f t="shared" si="28"/>
        <v>4125</v>
      </c>
      <c r="H29" s="529"/>
      <c r="I29" s="300">
        <f t="shared" si="2"/>
        <v>880</v>
      </c>
      <c r="J29" s="300">
        <v>4</v>
      </c>
      <c r="K29" s="301"/>
      <c r="L29" s="302">
        <f t="shared" si="29"/>
        <v>2025</v>
      </c>
      <c r="M29" s="302">
        <f t="shared" si="29"/>
        <v>2033</v>
      </c>
      <c r="N29" s="302">
        <f t="shared" si="29"/>
        <v>8</v>
      </c>
      <c r="O29" s="300">
        <v>8</v>
      </c>
      <c r="P29" s="529">
        <f t="shared" si="30"/>
        <v>8250</v>
      </c>
      <c r="Q29" s="529">
        <f>IF(A29&gt;0,E29/J29,0)</f>
        <v>1031.25</v>
      </c>
      <c r="R29" s="529">
        <f>Q29*A29</f>
        <v>2062.5</v>
      </c>
      <c r="S29" s="529">
        <f t="shared" si="31"/>
        <v>142.87681157989664</v>
      </c>
      <c r="T29" s="529">
        <f t="shared" si="32"/>
        <v>285.75362315979328</v>
      </c>
      <c r="U29" s="529">
        <f t="shared" si="33"/>
        <v>2348.2536231597933</v>
      </c>
      <c r="V29" s="529">
        <f t="shared" si="10"/>
        <v>128.90625</v>
      </c>
      <c r="W29" s="529">
        <f>V29*A29</f>
        <v>257.8125</v>
      </c>
      <c r="X29" s="291">
        <f t="shared" si="12"/>
        <v>0</v>
      </c>
      <c r="Y29" s="291">
        <f>IF(A29&gt;0,(Q29+S29+V29),0)</f>
        <v>1303.0330615798966</v>
      </c>
      <c r="Z29" s="335">
        <f>(Q29+S29+V29)*A29</f>
        <v>2606.0661231597933</v>
      </c>
      <c r="AA29" s="334">
        <f>VLOOKUP(O29,'B.0.ConsumiblesMaquinaria'!C$7:D$16,2)</f>
        <v>3.5000000000000003E-2</v>
      </c>
      <c r="AB29" s="301">
        <f t="shared" si="15"/>
        <v>30.800000000000004</v>
      </c>
      <c r="AC29" s="301">
        <f>+'B.0.ConsumiblesMaquinaria'!J$24</f>
        <v>9.879999999999999</v>
      </c>
      <c r="AD29" s="301">
        <f>+ROUND(AA29*AR$1*AC29,2)</f>
        <v>1.73</v>
      </c>
      <c r="AE29" s="300">
        <f>1.2*AE$106</f>
        <v>0.96</v>
      </c>
      <c r="AF29" s="300">
        <f t="shared" si="17"/>
        <v>844.8</v>
      </c>
      <c r="AG29" s="301">
        <f>+'B.0.ConsumiblesMaquinaria'!J$22</f>
        <v>1.7</v>
      </c>
      <c r="AH29" s="301">
        <f t="shared" si="18"/>
        <v>8.16</v>
      </c>
      <c r="AI29" s="301">
        <f>AH29+AD29</f>
        <v>9.89</v>
      </c>
      <c r="AJ29" s="300">
        <f>(AI29*AN29)*A29</f>
        <v>1780.2</v>
      </c>
      <c r="AK29" s="304">
        <f t="shared" si="21"/>
        <v>0.41250000000000003</v>
      </c>
      <c r="AL29" s="300">
        <f>(AK29*AN29)*A29</f>
        <v>74.25</v>
      </c>
      <c r="AM29" s="301">
        <f>IF(A29&gt;0,(AH29+AD29+AK29),0)</f>
        <v>10.3025</v>
      </c>
      <c r="AN29" s="302">
        <v>90</v>
      </c>
      <c r="AO29" s="300">
        <f>AN29*AM29</f>
        <v>927.22500000000002</v>
      </c>
      <c r="AP29" s="303">
        <f>AO29*A29</f>
        <v>1854.45</v>
      </c>
      <c r="AQ29" s="335">
        <f>AP29+Z29</f>
        <v>4460.5161231597931</v>
      </c>
    </row>
    <row r="30" spans="1:43">
      <c r="A30" s="307">
        <v>0</v>
      </c>
      <c r="B30" s="325" t="s">
        <v>439</v>
      </c>
      <c r="C30" s="326" t="s">
        <v>399</v>
      </c>
      <c r="D30" s="326" t="s">
        <v>369</v>
      </c>
      <c r="E30" s="530">
        <v>1968.75</v>
      </c>
      <c r="F30" s="526">
        <f t="shared" si="27"/>
        <v>1</v>
      </c>
      <c r="G30" s="530">
        <f t="shared" si="28"/>
        <v>1968.75</v>
      </c>
      <c r="H30" s="530"/>
      <c r="I30" s="327">
        <f>22*4*AR$1</f>
        <v>440</v>
      </c>
      <c r="J30" s="327">
        <v>4</v>
      </c>
      <c r="K30" s="328"/>
      <c r="L30" s="329">
        <f t="shared" si="29"/>
        <v>2025</v>
      </c>
      <c r="M30" s="329">
        <f t="shared" si="29"/>
        <v>2033</v>
      </c>
      <c r="N30" s="329">
        <f t="shared" si="29"/>
        <v>8</v>
      </c>
      <c r="O30" s="327">
        <v>3</v>
      </c>
      <c r="P30" s="530">
        <f t="shared" si="30"/>
        <v>0</v>
      </c>
      <c r="Q30" s="530">
        <f>IF(A30&gt;0,E30/J30,0)</f>
        <v>0</v>
      </c>
      <c r="R30" s="530">
        <f>Q30*A30</f>
        <v>0</v>
      </c>
      <c r="S30" s="530">
        <f t="shared" si="31"/>
        <v>0</v>
      </c>
      <c r="T30" s="530">
        <f t="shared" si="32"/>
        <v>0</v>
      </c>
      <c r="U30" s="530">
        <f t="shared" si="33"/>
        <v>0</v>
      </c>
      <c r="V30" s="530">
        <f t="shared" si="10"/>
        <v>0</v>
      </c>
      <c r="W30" s="530">
        <f>V30*A30</f>
        <v>0</v>
      </c>
      <c r="X30" s="310">
        <f t="shared" si="12"/>
        <v>0</v>
      </c>
      <c r="Y30" s="310">
        <f>IF(A30&gt;0,(Q30+S30+V30),0)</f>
        <v>0</v>
      </c>
      <c r="Z30" s="339">
        <f>(Q30+S30+V30)*A30</f>
        <v>0</v>
      </c>
      <c r="AA30" s="340">
        <f>VLOOKUP(O30,'B.0.ConsumiblesMaquinaria'!C$7:D$16,2)</f>
        <v>3.5000000000000003E-2</v>
      </c>
      <c r="AB30" s="328">
        <f t="shared" si="15"/>
        <v>0</v>
      </c>
      <c r="AC30" s="328">
        <f>+'B.0.ConsumiblesMaquinaria'!J$24</f>
        <v>9.879999999999999</v>
      </c>
      <c r="AD30" s="327">
        <f>+ROUND(AA30*AR$1*AC30,2)</f>
        <v>1.73</v>
      </c>
      <c r="AE30" s="327">
        <f>1.5*AE$106</f>
        <v>1.2000000000000002</v>
      </c>
      <c r="AF30" s="327">
        <f t="shared" si="17"/>
        <v>0</v>
      </c>
      <c r="AG30" s="328">
        <f>+'B.0.ConsumiblesMaquinaria'!J$22</f>
        <v>1.7</v>
      </c>
      <c r="AH30" s="328">
        <f t="shared" si="18"/>
        <v>0</v>
      </c>
      <c r="AI30" s="328">
        <f>AH30+AD30</f>
        <v>1.73</v>
      </c>
      <c r="AJ30" s="327">
        <f>(AI30*AN30)*A30</f>
        <v>0</v>
      </c>
      <c r="AK30" s="337">
        <f t="shared" si="21"/>
        <v>0</v>
      </c>
      <c r="AL30" s="327">
        <f>(AK30*AN30)*A30</f>
        <v>0</v>
      </c>
      <c r="AM30" s="328">
        <f>IF(A30&gt;0,(AH30+AD30+AK30),0)</f>
        <v>0</v>
      </c>
      <c r="AN30" s="329">
        <v>90</v>
      </c>
      <c r="AO30" s="327">
        <f>AN30*AM30</f>
        <v>0</v>
      </c>
      <c r="AP30" s="338">
        <f>AO30*A30</f>
        <v>0</v>
      </c>
      <c r="AQ30" s="339">
        <f>AP30+Z30</f>
        <v>0</v>
      </c>
    </row>
    <row r="31" spans="1:43">
      <c r="A31" s="819" t="s">
        <v>440</v>
      </c>
      <c r="B31" s="820"/>
      <c r="C31" s="820"/>
      <c r="D31" s="93"/>
      <c r="E31" s="531"/>
      <c r="F31" s="93"/>
      <c r="G31" s="93"/>
      <c r="H31" s="532"/>
      <c r="I31" s="93"/>
      <c r="J31" s="93"/>
      <c r="K31" s="93"/>
      <c r="L31" s="96"/>
      <c r="M31" s="96"/>
      <c r="N31" s="96"/>
      <c r="O31" s="93"/>
      <c r="P31" s="531"/>
      <c r="Q31" s="531"/>
      <c r="R31" s="531"/>
      <c r="S31" s="531"/>
      <c r="T31" s="531"/>
      <c r="U31" s="531"/>
      <c r="V31" s="531"/>
      <c r="W31" s="531"/>
      <c r="X31" s="531"/>
      <c r="Y31" s="531"/>
      <c r="Z31" s="531"/>
      <c r="AA31" s="93"/>
      <c r="AB31" s="93"/>
      <c r="AC31" s="93"/>
      <c r="AD31" s="93"/>
      <c r="AE31" s="93"/>
      <c r="AF31" s="93"/>
      <c r="AG31" s="93"/>
      <c r="AH31" s="93"/>
      <c r="AI31" s="93"/>
      <c r="AJ31" s="431"/>
      <c r="AK31" s="93"/>
      <c r="AL31" s="431"/>
      <c r="AM31" s="93"/>
      <c r="AN31" s="93"/>
      <c r="AO31" s="93"/>
      <c r="AP31" s="93"/>
      <c r="AQ31" s="342"/>
    </row>
    <row r="32" spans="1:43">
      <c r="A32" s="307">
        <v>6</v>
      </c>
      <c r="B32" s="298" t="s">
        <v>441</v>
      </c>
      <c r="C32" s="299" t="s">
        <v>341</v>
      </c>
      <c r="D32" s="299" t="s">
        <v>442</v>
      </c>
      <c r="E32" s="529">
        <v>373.75</v>
      </c>
      <c r="F32" s="525">
        <f t="shared" ref="F32:F49" si="34">$F$6</f>
        <v>1</v>
      </c>
      <c r="G32" s="529">
        <f t="shared" ref="G32:G49" si="35">E32*F32</f>
        <v>373.75</v>
      </c>
      <c r="H32" s="529"/>
      <c r="I32" s="300">
        <f t="shared" si="2"/>
        <v>880</v>
      </c>
      <c r="J32" s="300">
        <v>4</v>
      </c>
      <c r="K32" s="301"/>
      <c r="L32" s="302">
        <f t="shared" ref="L32:N49" si="36">L$4</f>
        <v>2025</v>
      </c>
      <c r="M32" s="302">
        <f t="shared" si="36"/>
        <v>2033</v>
      </c>
      <c r="N32" s="324">
        <f t="shared" si="36"/>
        <v>8</v>
      </c>
      <c r="O32" s="300">
        <v>0</v>
      </c>
      <c r="P32" s="529">
        <f t="shared" ref="P32:P49" si="37">E32*A32</f>
        <v>2242.5</v>
      </c>
      <c r="Q32" s="529">
        <f t="shared" ref="Q32:Q49" si="38">IF(A32&gt;0,E32/J32,0)</f>
        <v>93.4375</v>
      </c>
      <c r="R32" s="529">
        <f t="shared" ref="R32:R49" si="39">Q32*A32</f>
        <v>560.625</v>
      </c>
      <c r="S32" s="529">
        <f t="shared" ref="S32:S49" si="40">IF(A32=0,0,PMT($S$6,J32,-G32))-Q32</f>
        <v>12.945505049208819</v>
      </c>
      <c r="T32" s="529">
        <f t="shared" ref="T32:T49" si="41">S32*A32</f>
        <v>77.673030295252914</v>
      </c>
      <c r="U32" s="529">
        <f t="shared" ref="U32:U49" si="42">(S32+Q32)*A32</f>
        <v>638.29803029525294</v>
      </c>
      <c r="V32" s="529">
        <f t="shared" si="10"/>
        <v>11.6796875</v>
      </c>
      <c r="W32" s="533">
        <f t="shared" ref="W32:W49" si="43">V32*A32</f>
        <v>70.078125</v>
      </c>
      <c r="X32" s="306">
        <f t="shared" si="12"/>
        <v>0</v>
      </c>
      <c r="Y32" s="291">
        <f t="shared" ref="Y32:Y49" si="44">IF(A32&gt;0,(Q32+S32+V32),0)</f>
        <v>118.06269254920882</v>
      </c>
      <c r="Z32" s="335">
        <f t="shared" ref="Z32:Z49" si="45">(Q32+S32+V32)*A32</f>
        <v>708.37615529525294</v>
      </c>
      <c r="AA32" s="334">
        <f>VLOOKUP(O32,'B.0.ConsumiblesMaquinaria'!C$7:D$16,2)</f>
        <v>3.5000000000000003E-2</v>
      </c>
      <c r="AB32" s="301">
        <f t="shared" si="15"/>
        <v>30.800000000000004</v>
      </c>
      <c r="AC32" s="301">
        <v>0</v>
      </c>
      <c r="AD32" s="301">
        <f>+ROUND(AA32*AR$1*AC32,2)</f>
        <v>0</v>
      </c>
      <c r="AE32" s="300">
        <f>0*AE$106</f>
        <v>0</v>
      </c>
      <c r="AF32" s="300">
        <f t="shared" si="17"/>
        <v>0</v>
      </c>
      <c r="AG32" s="301">
        <v>0</v>
      </c>
      <c r="AH32" s="301">
        <f t="shared" si="18"/>
        <v>0</v>
      </c>
      <c r="AI32" s="301">
        <f t="shared" ref="AI32:AI49" si="46">AH32+AD32</f>
        <v>0</v>
      </c>
      <c r="AJ32" s="300">
        <f t="shared" ref="AJ32:AJ49" si="47">(AI32*AN32)*A32</f>
        <v>0</v>
      </c>
      <c r="AK32" s="304">
        <f t="shared" si="21"/>
        <v>3.7374999999999999E-2</v>
      </c>
      <c r="AL32" s="300">
        <f t="shared" ref="AL32:AL49" si="48">(AK32*AN32)*A32</f>
        <v>26.909999999999997</v>
      </c>
      <c r="AM32" s="301">
        <f t="shared" ref="AM32:AM49" si="49">IF(A32&gt;0,(AH32+AD32+AK32),0)</f>
        <v>3.7374999999999999E-2</v>
      </c>
      <c r="AN32" s="302">
        <v>120</v>
      </c>
      <c r="AO32" s="300">
        <f t="shared" ref="AO32:AO49" si="50">AN32*AM32</f>
        <v>4.4849999999999994</v>
      </c>
      <c r="AP32" s="303">
        <f t="shared" ref="AP32:AP49" si="51">AO32*A32</f>
        <v>26.909999999999997</v>
      </c>
      <c r="AQ32" s="335">
        <f t="shared" ref="AQ32:AQ49" si="52">AP32+Z32</f>
        <v>735.28615529525291</v>
      </c>
    </row>
    <row r="33" spans="1:43">
      <c r="A33" s="307">
        <v>0</v>
      </c>
      <c r="B33" s="298" t="s">
        <v>1083</v>
      </c>
      <c r="C33" s="299" t="s">
        <v>341</v>
      </c>
      <c r="D33" s="299" t="s">
        <v>446</v>
      </c>
      <c r="E33" s="529">
        <v>865</v>
      </c>
      <c r="F33" s="525">
        <f t="shared" si="34"/>
        <v>1</v>
      </c>
      <c r="G33" s="529">
        <f t="shared" ref="G33:G35" si="53">E33*F33</f>
        <v>865</v>
      </c>
      <c r="H33" s="529"/>
      <c r="I33" s="300">
        <f t="shared" ref="I33:I35" si="54">22*8*AR$1</f>
        <v>880</v>
      </c>
      <c r="J33" s="300">
        <v>4</v>
      </c>
      <c r="K33" s="301"/>
      <c r="L33" s="302">
        <f t="shared" si="36"/>
        <v>2025</v>
      </c>
      <c r="M33" s="302">
        <f t="shared" si="36"/>
        <v>2033</v>
      </c>
      <c r="N33" s="324">
        <f t="shared" si="36"/>
        <v>8</v>
      </c>
      <c r="O33" s="300">
        <v>3.5</v>
      </c>
      <c r="P33" s="529">
        <f t="shared" ref="P33:P35" si="55">E33*A33</f>
        <v>0</v>
      </c>
      <c r="Q33" s="529">
        <f t="shared" ref="Q33:Q35" si="56">IF(A33&gt;0,E33/J33,0)</f>
        <v>0</v>
      </c>
      <c r="R33" s="529">
        <f t="shared" ref="R33:R35" si="57">Q33*A33</f>
        <v>0</v>
      </c>
      <c r="S33" s="529">
        <f t="shared" ref="S33:S35" si="58">IF(A33=0,0,PMT($S$6,J33,-G33))-Q33</f>
        <v>0</v>
      </c>
      <c r="T33" s="529">
        <f t="shared" ref="T33:T35" si="59">S33*A33</f>
        <v>0</v>
      </c>
      <c r="U33" s="529">
        <f t="shared" ref="U33:U35" si="60">(S33+Q33)*A33</f>
        <v>0</v>
      </c>
      <c r="V33" s="529">
        <f t="shared" ref="V33:V35" si="61">Q33*V$6</f>
        <v>0</v>
      </c>
      <c r="W33" s="533">
        <f t="shared" ref="W33:W35" si="62">V33*A33</f>
        <v>0</v>
      </c>
      <c r="X33" s="306">
        <f t="shared" ref="X33:X35" si="63">IF((J33-N33)&lt;0,0,(Q33*(J33-(N33))))</f>
        <v>0</v>
      </c>
      <c r="Y33" s="291">
        <f t="shared" ref="Y33:Y35" si="64">IF(A33&gt;0,(Q33+S33+V33),0)</f>
        <v>0</v>
      </c>
      <c r="Z33" s="335">
        <f t="shared" ref="Z33:Z35" si="65">(Q33+S33+V33)*A33</f>
        <v>0</v>
      </c>
      <c r="AA33" s="334">
        <f>VLOOKUP(O33,'B.0.ConsumiblesMaquinaria'!C$7:D$16,2)</f>
        <v>3.5000000000000003E-2</v>
      </c>
      <c r="AB33" s="301">
        <f t="shared" ref="AB33:AB35" si="66">IF(A33&gt;0,+I33*AA33,0)</f>
        <v>0</v>
      </c>
      <c r="AC33" s="301">
        <f>+'B.0.ConsumiblesMaquinaria'!J$25</f>
        <v>4.8</v>
      </c>
      <c r="AD33" s="301">
        <f t="shared" ref="AD33:AD35" si="67">+ROUND(AA33*AR$1*AC33,2)</f>
        <v>0.84</v>
      </c>
      <c r="AE33" s="300">
        <f>0.300000011920929*AE$106</f>
        <v>0.24000000953674322</v>
      </c>
      <c r="AF33" s="300">
        <f t="shared" ref="AF33:AF35" si="68">IF(A33&gt;0,ROUND(AE33*I33,2),0)</f>
        <v>0</v>
      </c>
      <c r="AG33" s="301">
        <f>+'B.0.ConsumiblesMaquinaria'!J$22</f>
        <v>1.7</v>
      </c>
      <c r="AH33" s="301">
        <f t="shared" ref="AH33:AH35" si="69">IF(A33&gt;0,+ROUND(AE33*AR$1*AG33,4),0)</f>
        <v>0</v>
      </c>
      <c r="AI33" s="301">
        <f t="shared" ref="AI33:AI35" si="70">AH33+AD33</f>
        <v>0.84</v>
      </c>
      <c r="AJ33" s="300">
        <f t="shared" ref="AJ33:AJ35" si="71">(AI33*AN33)*A33</f>
        <v>0</v>
      </c>
      <c r="AK33" s="304">
        <f t="shared" ref="AK33:AK35" si="72">IF(A33&gt;0,E33*AK$6,0)</f>
        <v>0</v>
      </c>
      <c r="AL33" s="300">
        <f t="shared" ref="AL33:AL35" si="73">(AK33*AN33)*A33</f>
        <v>0</v>
      </c>
      <c r="AM33" s="301">
        <f t="shared" ref="AM33:AM35" si="74">IF(A33&gt;0,(AH33+AD33+AK33),0)</f>
        <v>0</v>
      </c>
      <c r="AN33" s="302">
        <v>120</v>
      </c>
      <c r="AO33" s="300">
        <f t="shared" ref="AO33:AO35" si="75">AN33*AM33</f>
        <v>0</v>
      </c>
      <c r="AP33" s="303">
        <f t="shared" ref="AP33:AP35" si="76">AO33*A33</f>
        <v>0</v>
      </c>
      <c r="AQ33" s="335">
        <f t="shared" ref="AQ33:AQ35" si="77">AP33+Z33</f>
        <v>0</v>
      </c>
    </row>
    <row r="34" spans="1:43">
      <c r="A34" s="307">
        <v>0</v>
      </c>
      <c r="B34" s="298" t="s">
        <v>1084</v>
      </c>
      <c r="C34" s="299" t="s">
        <v>341</v>
      </c>
      <c r="D34" s="299" t="s">
        <v>446</v>
      </c>
      <c r="E34" s="529">
        <v>1010</v>
      </c>
      <c r="F34" s="525">
        <f t="shared" si="34"/>
        <v>1</v>
      </c>
      <c r="G34" s="529">
        <f t="shared" si="53"/>
        <v>1010</v>
      </c>
      <c r="H34" s="529"/>
      <c r="I34" s="300">
        <f t="shared" si="54"/>
        <v>880</v>
      </c>
      <c r="J34" s="300">
        <v>4</v>
      </c>
      <c r="K34" s="301"/>
      <c r="L34" s="302">
        <f t="shared" si="36"/>
        <v>2025</v>
      </c>
      <c r="M34" s="302">
        <f t="shared" si="36"/>
        <v>2033</v>
      </c>
      <c r="N34" s="324">
        <f t="shared" si="36"/>
        <v>8</v>
      </c>
      <c r="O34" s="300">
        <v>4.0999999046325701</v>
      </c>
      <c r="P34" s="529">
        <f t="shared" si="55"/>
        <v>0</v>
      </c>
      <c r="Q34" s="529">
        <f t="shared" si="56"/>
        <v>0</v>
      </c>
      <c r="R34" s="529">
        <f t="shared" si="57"/>
        <v>0</v>
      </c>
      <c r="S34" s="529">
        <f t="shared" si="58"/>
        <v>0</v>
      </c>
      <c r="T34" s="529">
        <f t="shared" si="59"/>
        <v>0</v>
      </c>
      <c r="U34" s="529">
        <f t="shared" si="60"/>
        <v>0</v>
      </c>
      <c r="V34" s="529">
        <f t="shared" si="61"/>
        <v>0</v>
      </c>
      <c r="W34" s="533">
        <f t="shared" si="62"/>
        <v>0</v>
      </c>
      <c r="X34" s="306">
        <f t="shared" si="63"/>
        <v>0</v>
      </c>
      <c r="Y34" s="291">
        <f t="shared" si="64"/>
        <v>0</v>
      </c>
      <c r="Z34" s="335">
        <f t="shared" si="65"/>
        <v>0</v>
      </c>
      <c r="AA34" s="334">
        <f>VLOOKUP(O34,'B.0.ConsumiblesMaquinaria'!C$7:D$16,2)</f>
        <v>3.5000000000000003E-2</v>
      </c>
      <c r="AB34" s="301">
        <f t="shared" si="66"/>
        <v>0</v>
      </c>
      <c r="AC34" s="301">
        <f>+'B.0.ConsumiblesMaquinaria'!J$25</f>
        <v>4.8</v>
      </c>
      <c r="AD34" s="301">
        <f t="shared" si="67"/>
        <v>0.84</v>
      </c>
      <c r="AE34" s="300">
        <f>0.5*AE$106</f>
        <v>0.4</v>
      </c>
      <c r="AF34" s="300">
        <f t="shared" si="68"/>
        <v>0</v>
      </c>
      <c r="AG34" s="301">
        <f>+'B.0.ConsumiblesMaquinaria'!J$22</f>
        <v>1.7</v>
      </c>
      <c r="AH34" s="301">
        <f t="shared" si="69"/>
        <v>0</v>
      </c>
      <c r="AI34" s="301">
        <f t="shared" si="70"/>
        <v>0.84</v>
      </c>
      <c r="AJ34" s="300">
        <f t="shared" si="71"/>
        <v>0</v>
      </c>
      <c r="AK34" s="304">
        <f t="shared" si="72"/>
        <v>0</v>
      </c>
      <c r="AL34" s="300">
        <f t="shared" si="73"/>
        <v>0</v>
      </c>
      <c r="AM34" s="301">
        <f t="shared" si="74"/>
        <v>0</v>
      </c>
      <c r="AN34" s="302">
        <v>120</v>
      </c>
      <c r="AO34" s="300">
        <f t="shared" si="75"/>
        <v>0</v>
      </c>
      <c r="AP34" s="303">
        <f t="shared" si="76"/>
        <v>0</v>
      </c>
      <c r="AQ34" s="335">
        <f t="shared" si="77"/>
        <v>0</v>
      </c>
    </row>
    <row r="35" spans="1:43">
      <c r="A35" s="307">
        <v>0</v>
      </c>
      <c r="B35" s="298" t="s">
        <v>1085</v>
      </c>
      <c r="C35" s="299" t="s">
        <v>341</v>
      </c>
      <c r="D35" s="299" t="s">
        <v>446</v>
      </c>
      <c r="E35" s="529">
        <v>1180</v>
      </c>
      <c r="F35" s="525">
        <f t="shared" si="34"/>
        <v>1</v>
      </c>
      <c r="G35" s="529">
        <f t="shared" si="53"/>
        <v>1180</v>
      </c>
      <c r="H35" s="529"/>
      <c r="I35" s="300">
        <f t="shared" si="54"/>
        <v>880</v>
      </c>
      <c r="J35" s="300">
        <v>4</v>
      </c>
      <c r="K35" s="301"/>
      <c r="L35" s="302">
        <f t="shared" si="36"/>
        <v>2025</v>
      </c>
      <c r="M35" s="302">
        <f t="shared" si="36"/>
        <v>2033</v>
      </c>
      <c r="N35" s="324">
        <f t="shared" si="36"/>
        <v>8</v>
      </c>
      <c r="O35" s="300">
        <v>4.5999999046325701</v>
      </c>
      <c r="P35" s="529">
        <f t="shared" si="55"/>
        <v>0</v>
      </c>
      <c r="Q35" s="529">
        <f t="shared" si="56"/>
        <v>0</v>
      </c>
      <c r="R35" s="529">
        <f t="shared" si="57"/>
        <v>0</v>
      </c>
      <c r="S35" s="529">
        <f t="shared" si="58"/>
        <v>0</v>
      </c>
      <c r="T35" s="529">
        <f t="shared" si="59"/>
        <v>0</v>
      </c>
      <c r="U35" s="529">
        <f t="shared" si="60"/>
        <v>0</v>
      </c>
      <c r="V35" s="529">
        <f t="shared" si="61"/>
        <v>0</v>
      </c>
      <c r="W35" s="533">
        <f t="shared" si="62"/>
        <v>0</v>
      </c>
      <c r="X35" s="306">
        <f t="shared" si="63"/>
        <v>0</v>
      </c>
      <c r="Y35" s="291">
        <f t="shared" si="64"/>
        <v>0</v>
      </c>
      <c r="Z35" s="335">
        <f t="shared" si="65"/>
        <v>0</v>
      </c>
      <c r="AA35" s="334">
        <f>VLOOKUP(O35,'B.0.ConsumiblesMaquinaria'!C$7:D$16,2)</f>
        <v>3.5000000000000003E-2</v>
      </c>
      <c r="AB35" s="301">
        <f t="shared" si="66"/>
        <v>0</v>
      </c>
      <c r="AC35" s="301">
        <f>+'B.0.ConsumiblesMaquinaria'!J$25</f>
        <v>4.8</v>
      </c>
      <c r="AD35" s="301">
        <f t="shared" si="67"/>
        <v>0.84</v>
      </c>
      <c r="AE35" s="300">
        <f>0.800000011920928*AE$106</f>
        <v>0.64000000953674241</v>
      </c>
      <c r="AF35" s="300">
        <f t="shared" si="68"/>
        <v>0</v>
      </c>
      <c r="AG35" s="301">
        <f>+'B.0.ConsumiblesMaquinaria'!J$22</f>
        <v>1.7</v>
      </c>
      <c r="AH35" s="301">
        <f t="shared" si="69"/>
        <v>0</v>
      </c>
      <c r="AI35" s="301">
        <f t="shared" si="70"/>
        <v>0.84</v>
      </c>
      <c r="AJ35" s="300">
        <f t="shared" si="71"/>
        <v>0</v>
      </c>
      <c r="AK35" s="304">
        <f t="shared" si="72"/>
        <v>0</v>
      </c>
      <c r="AL35" s="300">
        <f t="shared" si="73"/>
        <v>0</v>
      </c>
      <c r="AM35" s="301">
        <f t="shared" si="74"/>
        <v>0</v>
      </c>
      <c r="AN35" s="302">
        <v>120</v>
      </c>
      <c r="AO35" s="300">
        <f t="shared" si="75"/>
        <v>0</v>
      </c>
      <c r="AP35" s="303">
        <f t="shared" si="76"/>
        <v>0</v>
      </c>
      <c r="AQ35" s="335">
        <f t="shared" si="77"/>
        <v>0</v>
      </c>
    </row>
    <row r="36" spans="1:43">
      <c r="A36" s="307">
        <v>0</v>
      </c>
      <c r="B36" s="298" t="s">
        <v>443</v>
      </c>
      <c r="C36" s="299" t="s">
        <v>410</v>
      </c>
      <c r="D36" s="299" t="s">
        <v>444</v>
      </c>
      <c r="E36" s="529">
        <v>477.5</v>
      </c>
      <c r="F36" s="525">
        <f t="shared" si="34"/>
        <v>1</v>
      </c>
      <c r="G36" s="529">
        <f t="shared" si="35"/>
        <v>477.5</v>
      </c>
      <c r="H36" s="529"/>
      <c r="I36" s="300">
        <f t="shared" si="2"/>
        <v>880</v>
      </c>
      <c r="J36" s="300">
        <v>4</v>
      </c>
      <c r="K36" s="301"/>
      <c r="L36" s="302">
        <f t="shared" si="36"/>
        <v>2025</v>
      </c>
      <c r="M36" s="302">
        <f t="shared" si="36"/>
        <v>2033</v>
      </c>
      <c r="N36" s="324">
        <f t="shared" si="36"/>
        <v>8</v>
      </c>
      <c r="O36" s="300">
        <v>1.79999995231628</v>
      </c>
      <c r="P36" s="529">
        <f t="shared" si="37"/>
        <v>0</v>
      </c>
      <c r="Q36" s="529">
        <f t="shared" si="38"/>
        <v>0</v>
      </c>
      <c r="R36" s="529">
        <f t="shared" si="39"/>
        <v>0</v>
      </c>
      <c r="S36" s="529">
        <f t="shared" si="40"/>
        <v>0</v>
      </c>
      <c r="T36" s="529">
        <f t="shared" si="41"/>
        <v>0</v>
      </c>
      <c r="U36" s="529">
        <f t="shared" si="42"/>
        <v>0</v>
      </c>
      <c r="V36" s="529">
        <f t="shared" si="10"/>
        <v>0</v>
      </c>
      <c r="W36" s="533">
        <f t="shared" si="43"/>
        <v>0</v>
      </c>
      <c r="X36" s="306">
        <f t="shared" si="12"/>
        <v>0</v>
      </c>
      <c r="Y36" s="291">
        <f t="shared" si="44"/>
        <v>0</v>
      </c>
      <c r="Z36" s="335">
        <f t="shared" si="45"/>
        <v>0</v>
      </c>
      <c r="AA36" s="334">
        <f>VLOOKUP(O36,'B.0.ConsumiblesMaquinaria'!C$7:D$16,2)</f>
        <v>3.5000000000000003E-2</v>
      </c>
      <c r="AB36" s="301">
        <f t="shared" si="15"/>
        <v>0</v>
      </c>
      <c r="AC36" s="301">
        <f>+'B.0.ConsumiblesMaquinaria'!J$25</f>
        <v>4.8</v>
      </c>
      <c r="AD36" s="301">
        <f t="shared" ref="AD36:AD49" si="78">+ROUND(AA36*AR$1*AC36,2)</f>
        <v>0.84</v>
      </c>
      <c r="AE36" s="300">
        <f>0.300000011920929*AE$106</f>
        <v>0.24000000953674322</v>
      </c>
      <c r="AF36" s="300">
        <f t="shared" si="17"/>
        <v>0</v>
      </c>
      <c r="AG36" s="301">
        <f>+'B.0.ConsumiblesMaquinaria'!J$22</f>
        <v>1.7</v>
      </c>
      <c r="AH36" s="301">
        <f t="shared" si="18"/>
        <v>0</v>
      </c>
      <c r="AI36" s="301">
        <f t="shared" si="46"/>
        <v>0.84</v>
      </c>
      <c r="AJ36" s="300">
        <f t="shared" si="47"/>
        <v>0</v>
      </c>
      <c r="AK36" s="304">
        <f t="shared" si="21"/>
        <v>0</v>
      </c>
      <c r="AL36" s="300">
        <f t="shared" si="48"/>
        <v>0</v>
      </c>
      <c r="AM36" s="301">
        <f t="shared" si="49"/>
        <v>0</v>
      </c>
      <c r="AN36" s="302">
        <v>120</v>
      </c>
      <c r="AO36" s="300">
        <f t="shared" si="50"/>
        <v>0</v>
      </c>
      <c r="AP36" s="303">
        <f t="shared" si="51"/>
        <v>0</v>
      </c>
      <c r="AQ36" s="335">
        <f t="shared" si="52"/>
        <v>0</v>
      </c>
    </row>
    <row r="37" spans="1:43">
      <c r="A37" s="307">
        <v>5</v>
      </c>
      <c r="B37" s="298" t="s">
        <v>445</v>
      </c>
      <c r="C37" s="299" t="s">
        <v>410</v>
      </c>
      <c r="D37" s="299" t="s">
        <v>446</v>
      </c>
      <c r="E37" s="529">
        <v>752.5</v>
      </c>
      <c r="F37" s="525">
        <f t="shared" si="34"/>
        <v>1</v>
      </c>
      <c r="G37" s="529">
        <f t="shared" si="35"/>
        <v>752.5</v>
      </c>
      <c r="H37" s="529"/>
      <c r="I37" s="300">
        <f t="shared" si="2"/>
        <v>880</v>
      </c>
      <c r="J37" s="300">
        <v>4</v>
      </c>
      <c r="K37" s="301"/>
      <c r="L37" s="302">
        <f t="shared" si="36"/>
        <v>2025</v>
      </c>
      <c r="M37" s="302">
        <f t="shared" si="36"/>
        <v>2033</v>
      </c>
      <c r="N37" s="324">
        <f t="shared" si="36"/>
        <v>8</v>
      </c>
      <c r="O37" s="300">
        <v>3.5</v>
      </c>
      <c r="P37" s="529">
        <f t="shared" si="37"/>
        <v>3762.5</v>
      </c>
      <c r="Q37" s="529">
        <f t="shared" si="38"/>
        <v>188.125</v>
      </c>
      <c r="R37" s="529">
        <f t="shared" si="39"/>
        <v>940.625</v>
      </c>
      <c r="S37" s="529">
        <f t="shared" si="40"/>
        <v>26.06419411245389</v>
      </c>
      <c r="T37" s="529">
        <f t="shared" si="41"/>
        <v>130.32097056226945</v>
      </c>
      <c r="U37" s="529">
        <f t="shared" si="42"/>
        <v>1070.9459705622694</v>
      </c>
      <c r="V37" s="529">
        <f t="shared" si="10"/>
        <v>23.515625</v>
      </c>
      <c r="W37" s="533">
        <f t="shared" si="43"/>
        <v>117.578125</v>
      </c>
      <c r="X37" s="306">
        <f t="shared" si="12"/>
        <v>0</v>
      </c>
      <c r="Y37" s="291">
        <f t="shared" si="44"/>
        <v>237.70481911245389</v>
      </c>
      <c r="Z37" s="335">
        <f t="shared" si="45"/>
        <v>1188.5240955622694</v>
      </c>
      <c r="AA37" s="334">
        <f>VLOOKUP(O37,'B.0.ConsumiblesMaquinaria'!C$7:D$16,2)</f>
        <v>3.5000000000000003E-2</v>
      </c>
      <c r="AB37" s="301">
        <f t="shared" si="15"/>
        <v>30.800000000000004</v>
      </c>
      <c r="AC37" s="301">
        <f>+'B.0.ConsumiblesMaquinaria'!J$25</f>
        <v>4.8</v>
      </c>
      <c r="AD37" s="301">
        <f t="shared" si="78"/>
        <v>0.84</v>
      </c>
      <c r="AE37" s="300">
        <f>0.300000011920929*AE$106</f>
        <v>0.24000000953674322</v>
      </c>
      <c r="AF37" s="300">
        <f t="shared" si="17"/>
        <v>211.2</v>
      </c>
      <c r="AG37" s="301">
        <f>+'B.0.ConsumiblesMaquinaria'!J$22</f>
        <v>1.7</v>
      </c>
      <c r="AH37" s="301">
        <f t="shared" si="18"/>
        <v>2.04</v>
      </c>
      <c r="AI37" s="301">
        <f t="shared" si="46"/>
        <v>2.88</v>
      </c>
      <c r="AJ37" s="300">
        <f t="shared" si="47"/>
        <v>1727.9999999999998</v>
      </c>
      <c r="AK37" s="304">
        <f t="shared" si="21"/>
        <v>7.5249999999999997E-2</v>
      </c>
      <c r="AL37" s="300">
        <f t="shared" si="48"/>
        <v>45.15</v>
      </c>
      <c r="AM37" s="301">
        <f t="shared" si="49"/>
        <v>2.9552499999999999</v>
      </c>
      <c r="AN37" s="302">
        <v>120</v>
      </c>
      <c r="AO37" s="300">
        <f t="shared" si="50"/>
        <v>354.63</v>
      </c>
      <c r="AP37" s="303">
        <f t="shared" si="51"/>
        <v>1773.15</v>
      </c>
      <c r="AQ37" s="335">
        <f t="shared" si="52"/>
        <v>2961.6740955622695</v>
      </c>
    </row>
    <row r="38" spans="1:43">
      <c r="A38" s="307">
        <v>5</v>
      </c>
      <c r="B38" s="298" t="s">
        <v>447</v>
      </c>
      <c r="C38" s="299" t="s">
        <v>410</v>
      </c>
      <c r="D38" s="299" t="s">
        <v>446</v>
      </c>
      <c r="E38" s="529">
        <v>748.75</v>
      </c>
      <c r="F38" s="525">
        <f t="shared" si="34"/>
        <v>1</v>
      </c>
      <c r="G38" s="529">
        <f t="shared" si="35"/>
        <v>748.75</v>
      </c>
      <c r="H38" s="529"/>
      <c r="I38" s="300">
        <f t="shared" si="2"/>
        <v>880</v>
      </c>
      <c r="J38" s="300">
        <v>4</v>
      </c>
      <c r="K38" s="301"/>
      <c r="L38" s="302">
        <f t="shared" si="36"/>
        <v>2025</v>
      </c>
      <c r="M38" s="302">
        <f t="shared" si="36"/>
        <v>2033</v>
      </c>
      <c r="N38" s="324">
        <f t="shared" si="36"/>
        <v>8</v>
      </c>
      <c r="O38" s="300">
        <v>4.0999999046325701</v>
      </c>
      <c r="P38" s="529">
        <f t="shared" si="37"/>
        <v>3743.75</v>
      </c>
      <c r="Q38" s="529">
        <f t="shared" si="38"/>
        <v>187.1875</v>
      </c>
      <c r="R38" s="529">
        <f t="shared" si="39"/>
        <v>935.9375</v>
      </c>
      <c r="S38" s="529">
        <f t="shared" si="40"/>
        <v>25.934306101926694</v>
      </c>
      <c r="T38" s="529">
        <f t="shared" si="41"/>
        <v>129.67153050963347</v>
      </c>
      <c r="U38" s="529">
        <f t="shared" si="42"/>
        <v>1065.6090305096334</v>
      </c>
      <c r="V38" s="529">
        <f t="shared" si="10"/>
        <v>23.3984375</v>
      </c>
      <c r="W38" s="533">
        <f t="shared" si="43"/>
        <v>116.9921875</v>
      </c>
      <c r="X38" s="306">
        <f t="shared" si="12"/>
        <v>0</v>
      </c>
      <c r="Y38" s="291">
        <f t="shared" si="44"/>
        <v>236.52024360192669</v>
      </c>
      <c r="Z38" s="335">
        <f t="shared" si="45"/>
        <v>1182.6012180096334</v>
      </c>
      <c r="AA38" s="334">
        <f>VLOOKUP(O38,'B.0.ConsumiblesMaquinaria'!C$7:D$16,2)</f>
        <v>3.5000000000000003E-2</v>
      </c>
      <c r="AB38" s="301">
        <f t="shared" si="15"/>
        <v>30.800000000000004</v>
      </c>
      <c r="AC38" s="301">
        <f>+'B.0.ConsumiblesMaquinaria'!J$25</f>
        <v>4.8</v>
      </c>
      <c r="AD38" s="301">
        <f t="shared" si="78"/>
        <v>0.84</v>
      </c>
      <c r="AE38" s="300">
        <f>0.5*AE$106</f>
        <v>0.4</v>
      </c>
      <c r="AF38" s="300">
        <f t="shared" si="17"/>
        <v>352</v>
      </c>
      <c r="AG38" s="301">
        <f>+'B.0.ConsumiblesMaquinaria'!J$22</f>
        <v>1.7</v>
      </c>
      <c r="AH38" s="301">
        <f t="shared" si="18"/>
        <v>3.4</v>
      </c>
      <c r="AI38" s="301">
        <f t="shared" si="46"/>
        <v>4.24</v>
      </c>
      <c r="AJ38" s="300">
        <f t="shared" si="47"/>
        <v>2544</v>
      </c>
      <c r="AK38" s="304">
        <f t="shared" si="21"/>
        <v>7.4874999999999997E-2</v>
      </c>
      <c r="AL38" s="300">
        <f t="shared" si="48"/>
        <v>44.924999999999997</v>
      </c>
      <c r="AM38" s="301">
        <f t="shared" si="49"/>
        <v>4.3148749999999998</v>
      </c>
      <c r="AN38" s="302">
        <v>120</v>
      </c>
      <c r="AO38" s="300">
        <f t="shared" si="50"/>
        <v>517.78499999999997</v>
      </c>
      <c r="AP38" s="303">
        <f t="shared" si="51"/>
        <v>2588.9249999999997</v>
      </c>
      <c r="AQ38" s="335">
        <f t="shared" si="52"/>
        <v>3771.5262180096333</v>
      </c>
    </row>
    <row r="39" spans="1:43">
      <c r="A39" s="307">
        <v>2</v>
      </c>
      <c r="B39" s="298" t="s">
        <v>448</v>
      </c>
      <c r="C39" s="299" t="s">
        <v>410</v>
      </c>
      <c r="D39" s="299" t="s">
        <v>446</v>
      </c>
      <c r="E39" s="529">
        <v>873.75</v>
      </c>
      <c r="F39" s="525">
        <f t="shared" si="34"/>
        <v>1</v>
      </c>
      <c r="G39" s="529">
        <f t="shared" si="35"/>
        <v>873.75</v>
      </c>
      <c r="H39" s="529"/>
      <c r="I39" s="300">
        <f t="shared" si="2"/>
        <v>880</v>
      </c>
      <c r="J39" s="300">
        <v>4</v>
      </c>
      <c r="K39" s="301"/>
      <c r="L39" s="302">
        <f t="shared" si="36"/>
        <v>2025</v>
      </c>
      <c r="M39" s="302">
        <f t="shared" si="36"/>
        <v>2033</v>
      </c>
      <c r="N39" s="324">
        <f t="shared" si="36"/>
        <v>8</v>
      </c>
      <c r="O39" s="300">
        <v>4.5999999046325701</v>
      </c>
      <c r="P39" s="529">
        <f t="shared" si="37"/>
        <v>1747.5</v>
      </c>
      <c r="Q39" s="529">
        <f t="shared" si="38"/>
        <v>218.4375</v>
      </c>
      <c r="R39" s="529">
        <f t="shared" si="39"/>
        <v>436.875</v>
      </c>
      <c r="S39" s="529">
        <f t="shared" si="40"/>
        <v>30.263906452832686</v>
      </c>
      <c r="T39" s="529">
        <f t="shared" si="41"/>
        <v>60.527812905665371</v>
      </c>
      <c r="U39" s="529">
        <f t="shared" si="42"/>
        <v>497.40281290566537</v>
      </c>
      <c r="V39" s="529">
        <f t="shared" si="10"/>
        <v>27.3046875</v>
      </c>
      <c r="W39" s="533">
        <f t="shared" si="43"/>
        <v>54.609375</v>
      </c>
      <c r="X39" s="306">
        <f t="shared" si="12"/>
        <v>0</v>
      </c>
      <c r="Y39" s="291">
        <f t="shared" si="44"/>
        <v>276.00609395283266</v>
      </c>
      <c r="Z39" s="335">
        <f t="shared" si="45"/>
        <v>552.01218790566531</v>
      </c>
      <c r="AA39" s="334">
        <f>VLOOKUP(O39,'B.0.ConsumiblesMaquinaria'!C$7:D$16,2)</f>
        <v>3.5000000000000003E-2</v>
      </c>
      <c r="AB39" s="301">
        <f t="shared" si="15"/>
        <v>30.800000000000004</v>
      </c>
      <c r="AC39" s="301">
        <f>+'B.0.ConsumiblesMaquinaria'!J$25</f>
        <v>4.8</v>
      </c>
      <c r="AD39" s="301">
        <f t="shared" si="78"/>
        <v>0.84</v>
      </c>
      <c r="AE39" s="300">
        <f>0.800000011920928*AE$106</f>
        <v>0.64000000953674241</v>
      </c>
      <c r="AF39" s="300">
        <f t="shared" si="17"/>
        <v>563.20000000000005</v>
      </c>
      <c r="AG39" s="301">
        <f>+'B.0.ConsumiblesMaquinaria'!J$22</f>
        <v>1.7</v>
      </c>
      <c r="AH39" s="301">
        <f t="shared" si="18"/>
        <v>5.44</v>
      </c>
      <c r="AI39" s="301">
        <f t="shared" si="46"/>
        <v>6.28</v>
      </c>
      <c r="AJ39" s="300">
        <f t="shared" si="47"/>
        <v>1507.2</v>
      </c>
      <c r="AK39" s="304">
        <f t="shared" si="21"/>
        <v>8.7375000000000008E-2</v>
      </c>
      <c r="AL39" s="300">
        <f t="shared" si="48"/>
        <v>20.970000000000002</v>
      </c>
      <c r="AM39" s="301">
        <f t="shared" si="49"/>
        <v>6.367375</v>
      </c>
      <c r="AN39" s="302">
        <v>120</v>
      </c>
      <c r="AO39" s="300">
        <f t="shared" si="50"/>
        <v>764.08500000000004</v>
      </c>
      <c r="AP39" s="303">
        <f t="shared" si="51"/>
        <v>1528.17</v>
      </c>
      <c r="AQ39" s="335">
        <f t="shared" si="52"/>
        <v>2080.1821879056652</v>
      </c>
    </row>
    <row r="40" spans="1:43">
      <c r="A40" s="307">
        <v>3</v>
      </c>
      <c r="B40" s="298" t="s">
        <v>449</v>
      </c>
      <c r="C40" s="299" t="s">
        <v>410</v>
      </c>
      <c r="D40" s="299" t="s">
        <v>446</v>
      </c>
      <c r="E40" s="529">
        <v>761.25</v>
      </c>
      <c r="F40" s="525">
        <f t="shared" si="34"/>
        <v>1</v>
      </c>
      <c r="G40" s="529">
        <f t="shared" si="35"/>
        <v>761.25</v>
      </c>
      <c r="H40" s="529"/>
      <c r="I40" s="300">
        <f t="shared" si="2"/>
        <v>880</v>
      </c>
      <c r="J40" s="300">
        <v>4</v>
      </c>
      <c r="K40" s="301"/>
      <c r="L40" s="302">
        <f t="shared" si="36"/>
        <v>2025</v>
      </c>
      <c r="M40" s="302">
        <f t="shared" si="36"/>
        <v>2033</v>
      </c>
      <c r="N40" s="324">
        <f t="shared" si="36"/>
        <v>8</v>
      </c>
      <c r="O40" s="300">
        <v>1.8999999761581401</v>
      </c>
      <c r="P40" s="529">
        <f t="shared" si="37"/>
        <v>2283.75</v>
      </c>
      <c r="Q40" s="529">
        <f t="shared" si="38"/>
        <v>190.3125</v>
      </c>
      <c r="R40" s="529">
        <f t="shared" si="39"/>
        <v>570.9375</v>
      </c>
      <c r="S40" s="529">
        <f t="shared" si="40"/>
        <v>26.36726613701731</v>
      </c>
      <c r="T40" s="529">
        <f t="shared" si="41"/>
        <v>79.101798411051931</v>
      </c>
      <c r="U40" s="529">
        <f t="shared" si="42"/>
        <v>650.03929841105196</v>
      </c>
      <c r="V40" s="529">
        <f t="shared" si="10"/>
        <v>23.7890625</v>
      </c>
      <c r="W40" s="533">
        <f t="shared" si="43"/>
        <v>71.3671875</v>
      </c>
      <c r="X40" s="306">
        <f t="shared" si="12"/>
        <v>0</v>
      </c>
      <c r="Y40" s="291">
        <f t="shared" si="44"/>
        <v>240.46882863701731</v>
      </c>
      <c r="Z40" s="335">
        <f t="shared" si="45"/>
        <v>721.40648591105196</v>
      </c>
      <c r="AA40" s="334">
        <f>VLOOKUP(O40,'B.0.ConsumiblesMaquinaria'!C$7:D$16,2)</f>
        <v>3.5000000000000003E-2</v>
      </c>
      <c r="AB40" s="301">
        <f t="shared" si="15"/>
        <v>30.800000000000004</v>
      </c>
      <c r="AC40" s="301">
        <f>+'B.0.ConsumiblesMaquinaria'!J$25</f>
        <v>4.8</v>
      </c>
      <c r="AD40" s="301">
        <f t="shared" si="78"/>
        <v>0.84</v>
      </c>
      <c r="AE40" s="300">
        <f>0.300000011920929*AE$106</f>
        <v>0.24000000953674322</v>
      </c>
      <c r="AF40" s="300">
        <f t="shared" si="17"/>
        <v>211.2</v>
      </c>
      <c r="AG40" s="301">
        <f>+'B.0.ConsumiblesMaquinaria'!J$22</f>
        <v>1.7</v>
      </c>
      <c r="AH40" s="301">
        <f t="shared" si="18"/>
        <v>2.04</v>
      </c>
      <c r="AI40" s="301">
        <f t="shared" si="46"/>
        <v>2.88</v>
      </c>
      <c r="AJ40" s="300">
        <f t="shared" si="47"/>
        <v>1036.8</v>
      </c>
      <c r="AK40" s="304">
        <f t="shared" si="21"/>
        <v>7.6124999999999998E-2</v>
      </c>
      <c r="AL40" s="300">
        <f t="shared" si="48"/>
        <v>27.405000000000001</v>
      </c>
      <c r="AM40" s="301">
        <f t="shared" si="49"/>
        <v>2.9561250000000001</v>
      </c>
      <c r="AN40" s="302">
        <v>120</v>
      </c>
      <c r="AO40" s="300">
        <f t="shared" si="50"/>
        <v>354.73500000000001</v>
      </c>
      <c r="AP40" s="303">
        <f t="shared" si="51"/>
        <v>1064.2049999999999</v>
      </c>
      <c r="AQ40" s="335">
        <f t="shared" si="52"/>
        <v>1785.6114859110519</v>
      </c>
    </row>
    <row r="41" spans="1:43">
      <c r="A41" s="307">
        <v>5</v>
      </c>
      <c r="B41" s="298" t="s">
        <v>450</v>
      </c>
      <c r="C41" s="299" t="s">
        <v>410</v>
      </c>
      <c r="D41" s="299" t="s">
        <v>451</v>
      </c>
      <c r="E41" s="529">
        <v>461.25</v>
      </c>
      <c r="F41" s="525">
        <f t="shared" si="34"/>
        <v>1</v>
      </c>
      <c r="G41" s="529">
        <f t="shared" si="35"/>
        <v>461.25</v>
      </c>
      <c r="H41" s="529"/>
      <c r="I41" s="300">
        <f t="shared" si="2"/>
        <v>880</v>
      </c>
      <c r="J41" s="300">
        <v>4</v>
      </c>
      <c r="K41" s="301"/>
      <c r="L41" s="302">
        <f t="shared" si="36"/>
        <v>2025</v>
      </c>
      <c r="M41" s="302">
        <f t="shared" si="36"/>
        <v>2033</v>
      </c>
      <c r="N41" s="324">
        <f t="shared" si="36"/>
        <v>8</v>
      </c>
      <c r="O41" s="300">
        <v>1</v>
      </c>
      <c r="P41" s="529">
        <f t="shared" si="37"/>
        <v>2306.25</v>
      </c>
      <c r="Q41" s="529">
        <f t="shared" si="38"/>
        <v>115.3125</v>
      </c>
      <c r="R41" s="529">
        <f t="shared" si="39"/>
        <v>576.5625</v>
      </c>
      <c r="S41" s="529">
        <f t="shared" si="40"/>
        <v>15.976225294842976</v>
      </c>
      <c r="T41" s="529">
        <f t="shared" si="41"/>
        <v>79.881126474214881</v>
      </c>
      <c r="U41" s="529">
        <f t="shared" si="42"/>
        <v>656.44362647421485</v>
      </c>
      <c r="V41" s="529">
        <f t="shared" si="10"/>
        <v>14.4140625</v>
      </c>
      <c r="W41" s="533">
        <f t="shared" si="43"/>
        <v>72.0703125</v>
      </c>
      <c r="X41" s="306">
        <f t="shared" si="12"/>
        <v>0</v>
      </c>
      <c r="Y41" s="291">
        <f t="shared" si="44"/>
        <v>145.70278779484298</v>
      </c>
      <c r="Z41" s="335">
        <f t="shared" si="45"/>
        <v>728.51393897421485</v>
      </c>
      <c r="AA41" s="334">
        <f>VLOOKUP(O41,'B.0.ConsumiblesMaquinaria'!C$7:D$16,2)</f>
        <v>3.5000000000000003E-2</v>
      </c>
      <c r="AB41" s="301">
        <f t="shared" si="15"/>
        <v>30.800000000000004</v>
      </c>
      <c r="AC41" s="301">
        <f>+'B.0.ConsumiblesMaquinaria'!J$25</f>
        <v>4.8</v>
      </c>
      <c r="AD41" s="301">
        <f t="shared" si="78"/>
        <v>0.84</v>
      </c>
      <c r="AE41" s="300">
        <f>1*AE$106</f>
        <v>0.8</v>
      </c>
      <c r="AF41" s="300">
        <f t="shared" si="17"/>
        <v>704</v>
      </c>
      <c r="AG41" s="301">
        <f>+'B.0.ConsumiblesMaquinaria'!J$22</f>
        <v>1.7</v>
      </c>
      <c r="AH41" s="301">
        <f t="shared" si="18"/>
        <v>6.8</v>
      </c>
      <c r="AI41" s="301">
        <f t="shared" si="46"/>
        <v>7.64</v>
      </c>
      <c r="AJ41" s="300">
        <f t="shared" si="47"/>
        <v>4584</v>
      </c>
      <c r="AK41" s="304">
        <f t="shared" si="21"/>
        <v>4.6124999999999999E-2</v>
      </c>
      <c r="AL41" s="300">
        <f t="shared" si="48"/>
        <v>27.675000000000001</v>
      </c>
      <c r="AM41" s="301">
        <f t="shared" si="49"/>
        <v>7.6861249999999997</v>
      </c>
      <c r="AN41" s="302">
        <v>120</v>
      </c>
      <c r="AO41" s="300">
        <f t="shared" si="50"/>
        <v>922.33499999999992</v>
      </c>
      <c r="AP41" s="303">
        <f t="shared" si="51"/>
        <v>4611.6749999999993</v>
      </c>
      <c r="AQ41" s="335">
        <f t="shared" si="52"/>
        <v>5340.1889389742137</v>
      </c>
    </row>
    <row r="42" spans="1:43">
      <c r="A42" s="307">
        <v>2</v>
      </c>
      <c r="B42" s="298" t="s">
        <v>452</v>
      </c>
      <c r="C42" s="299" t="s">
        <v>410</v>
      </c>
      <c r="D42" s="299" t="s">
        <v>453</v>
      </c>
      <c r="E42" s="529">
        <v>781.25</v>
      </c>
      <c r="F42" s="525">
        <f t="shared" si="34"/>
        <v>1</v>
      </c>
      <c r="G42" s="529">
        <f t="shared" si="35"/>
        <v>781.25</v>
      </c>
      <c r="H42" s="529"/>
      <c r="I42" s="300">
        <f t="shared" si="2"/>
        <v>880</v>
      </c>
      <c r="J42" s="300">
        <v>4</v>
      </c>
      <c r="K42" s="301"/>
      <c r="L42" s="302">
        <f t="shared" si="36"/>
        <v>2025</v>
      </c>
      <c r="M42" s="302">
        <f t="shared" si="36"/>
        <v>2033</v>
      </c>
      <c r="N42" s="324">
        <f t="shared" si="36"/>
        <v>8</v>
      </c>
      <c r="O42" s="300">
        <v>1</v>
      </c>
      <c r="P42" s="529">
        <f t="shared" si="37"/>
        <v>1562.5</v>
      </c>
      <c r="Q42" s="529">
        <f t="shared" si="38"/>
        <v>195.3125</v>
      </c>
      <c r="R42" s="529">
        <f t="shared" si="39"/>
        <v>390.625</v>
      </c>
      <c r="S42" s="529">
        <f t="shared" si="40"/>
        <v>27.060002193162262</v>
      </c>
      <c r="T42" s="529">
        <f t="shared" si="41"/>
        <v>54.120004386324524</v>
      </c>
      <c r="U42" s="529">
        <f t="shared" si="42"/>
        <v>444.74500438632452</v>
      </c>
      <c r="V42" s="529">
        <f t="shared" si="10"/>
        <v>24.4140625</v>
      </c>
      <c r="W42" s="533">
        <f t="shared" si="43"/>
        <v>48.828125</v>
      </c>
      <c r="X42" s="306">
        <f t="shared" si="12"/>
        <v>0</v>
      </c>
      <c r="Y42" s="291">
        <f t="shared" si="44"/>
        <v>246.78656469316226</v>
      </c>
      <c r="Z42" s="335">
        <f t="shared" si="45"/>
        <v>493.57312938632452</v>
      </c>
      <c r="AA42" s="334">
        <f>VLOOKUP(O42,'B.0.ConsumiblesMaquinaria'!C$7:D$16,2)</f>
        <v>3.5000000000000003E-2</v>
      </c>
      <c r="AB42" s="301">
        <f t="shared" si="15"/>
        <v>30.800000000000004</v>
      </c>
      <c r="AC42" s="301">
        <f>+'B.0.ConsumiblesMaquinaria'!J$25</f>
        <v>4.8</v>
      </c>
      <c r="AD42" s="301">
        <f t="shared" si="78"/>
        <v>0.84</v>
      </c>
      <c r="AE42" s="300">
        <f>1*AE$106</f>
        <v>0.8</v>
      </c>
      <c r="AF42" s="300">
        <f t="shared" si="17"/>
        <v>704</v>
      </c>
      <c r="AG42" s="301">
        <f>+'B.0.ConsumiblesMaquinaria'!J$22</f>
        <v>1.7</v>
      </c>
      <c r="AH42" s="301">
        <f t="shared" si="18"/>
        <v>6.8</v>
      </c>
      <c r="AI42" s="301">
        <f t="shared" si="46"/>
        <v>7.64</v>
      </c>
      <c r="AJ42" s="300">
        <f t="shared" si="47"/>
        <v>1833.6</v>
      </c>
      <c r="AK42" s="304">
        <f t="shared" si="21"/>
        <v>7.8125E-2</v>
      </c>
      <c r="AL42" s="300">
        <f t="shared" si="48"/>
        <v>18.75</v>
      </c>
      <c r="AM42" s="301">
        <f t="shared" si="49"/>
        <v>7.7181249999999997</v>
      </c>
      <c r="AN42" s="302">
        <v>120</v>
      </c>
      <c r="AO42" s="300">
        <f t="shared" si="50"/>
        <v>926.17499999999995</v>
      </c>
      <c r="AP42" s="303">
        <f t="shared" si="51"/>
        <v>1852.35</v>
      </c>
      <c r="AQ42" s="335">
        <f t="shared" si="52"/>
        <v>2345.9231293863245</v>
      </c>
    </row>
    <row r="43" spans="1:43">
      <c r="A43" s="307">
        <v>0</v>
      </c>
      <c r="B43" s="298" t="s">
        <v>454</v>
      </c>
      <c r="C43" s="299" t="s">
        <v>410</v>
      </c>
      <c r="D43" s="299" t="s">
        <v>455</v>
      </c>
      <c r="E43" s="529">
        <v>781.25</v>
      </c>
      <c r="F43" s="525">
        <f t="shared" si="34"/>
        <v>1</v>
      </c>
      <c r="G43" s="529">
        <f t="shared" si="35"/>
        <v>781.25</v>
      </c>
      <c r="H43" s="529"/>
      <c r="I43" s="300">
        <f t="shared" si="2"/>
        <v>880</v>
      </c>
      <c r="J43" s="300">
        <v>4</v>
      </c>
      <c r="K43" s="301"/>
      <c r="L43" s="302">
        <f t="shared" si="36"/>
        <v>2025</v>
      </c>
      <c r="M43" s="302">
        <f t="shared" si="36"/>
        <v>2033</v>
      </c>
      <c r="N43" s="324">
        <f t="shared" si="36"/>
        <v>8</v>
      </c>
      <c r="O43" s="300">
        <v>1</v>
      </c>
      <c r="P43" s="529">
        <f t="shared" si="37"/>
        <v>0</v>
      </c>
      <c r="Q43" s="529">
        <f t="shared" si="38"/>
        <v>0</v>
      </c>
      <c r="R43" s="529">
        <f t="shared" si="39"/>
        <v>0</v>
      </c>
      <c r="S43" s="529">
        <f t="shared" si="40"/>
        <v>0</v>
      </c>
      <c r="T43" s="529">
        <f t="shared" si="41"/>
        <v>0</v>
      </c>
      <c r="U43" s="529">
        <f t="shared" si="42"/>
        <v>0</v>
      </c>
      <c r="V43" s="529">
        <f t="shared" si="10"/>
        <v>0</v>
      </c>
      <c r="W43" s="533">
        <f t="shared" si="43"/>
        <v>0</v>
      </c>
      <c r="X43" s="306">
        <f t="shared" si="12"/>
        <v>0</v>
      </c>
      <c r="Y43" s="291">
        <f t="shared" si="44"/>
        <v>0</v>
      </c>
      <c r="Z43" s="335">
        <f t="shared" si="45"/>
        <v>0</v>
      </c>
      <c r="AA43" s="334">
        <f>VLOOKUP(O43,'B.0.ConsumiblesMaquinaria'!C$7:D$16,2)</f>
        <v>3.5000000000000003E-2</v>
      </c>
      <c r="AB43" s="301">
        <f t="shared" si="15"/>
        <v>0</v>
      </c>
      <c r="AC43" s="301">
        <f>+'B.0.ConsumiblesMaquinaria'!J$25</f>
        <v>4.8</v>
      </c>
      <c r="AD43" s="301">
        <f t="shared" si="78"/>
        <v>0.84</v>
      </c>
      <c r="AE43" s="300">
        <f>1*AE$106</f>
        <v>0.8</v>
      </c>
      <c r="AF43" s="300">
        <f t="shared" si="17"/>
        <v>0</v>
      </c>
      <c r="AG43" s="301">
        <f>+'B.0.ConsumiblesMaquinaria'!J$22</f>
        <v>1.7</v>
      </c>
      <c r="AH43" s="301">
        <f t="shared" si="18"/>
        <v>0</v>
      </c>
      <c r="AI43" s="301">
        <f t="shared" si="46"/>
        <v>0.84</v>
      </c>
      <c r="AJ43" s="300">
        <f t="shared" si="47"/>
        <v>0</v>
      </c>
      <c r="AK43" s="304">
        <f t="shared" si="21"/>
        <v>0</v>
      </c>
      <c r="AL43" s="300">
        <f t="shared" si="48"/>
        <v>0</v>
      </c>
      <c r="AM43" s="301">
        <f t="shared" si="49"/>
        <v>0</v>
      </c>
      <c r="AN43" s="302">
        <v>120</v>
      </c>
      <c r="AO43" s="300">
        <f t="shared" si="50"/>
        <v>0</v>
      </c>
      <c r="AP43" s="303">
        <f t="shared" si="51"/>
        <v>0</v>
      </c>
      <c r="AQ43" s="335">
        <f t="shared" si="52"/>
        <v>0</v>
      </c>
    </row>
    <row r="44" spans="1:43">
      <c r="A44" s="307">
        <v>0</v>
      </c>
      <c r="B44" s="298" t="s">
        <v>456</v>
      </c>
      <c r="C44" s="299" t="s">
        <v>410</v>
      </c>
      <c r="D44" s="299" t="s">
        <v>457</v>
      </c>
      <c r="E44" s="529">
        <v>723.75</v>
      </c>
      <c r="F44" s="525">
        <f t="shared" si="34"/>
        <v>1</v>
      </c>
      <c r="G44" s="529">
        <f t="shared" si="35"/>
        <v>723.75</v>
      </c>
      <c r="H44" s="529"/>
      <c r="I44" s="300">
        <f t="shared" si="2"/>
        <v>880</v>
      </c>
      <c r="J44" s="300">
        <v>4</v>
      </c>
      <c r="K44" s="301"/>
      <c r="L44" s="302">
        <f t="shared" si="36"/>
        <v>2025</v>
      </c>
      <c r="M44" s="302">
        <f t="shared" si="36"/>
        <v>2033</v>
      </c>
      <c r="N44" s="324">
        <f t="shared" si="36"/>
        <v>8</v>
      </c>
      <c r="O44" s="300">
        <v>1.29999995231628</v>
      </c>
      <c r="P44" s="529">
        <f t="shared" si="37"/>
        <v>0</v>
      </c>
      <c r="Q44" s="529">
        <f t="shared" si="38"/>
        <v>0</v>
      </c>
      <c r="R44" s="529">
        <f t="shared" si="39"/>
        <v>0</v>
      </c>
      <c r="S44" s="529">
        <f t="shared" si="40"/>
        <v>0</v>
      </c>
      <c r="T44" s="529">
        <f t="shared" si="41"/>
        <v>0</v>
      </c>
      <c r="U44" s="529">
        <f t="shared" si="42"/>
        <v>0</v>
      </c>
      <c r="V44" s="529">
        <f t="shared" si="10"/>
        <v>0</v>
      </c>
      <c r="W44" s="533">
        <f t="shared" si="43"/>
        <v>0</v>
      </c>
      <c r="X44" s="306">
        <f t="shared" si="12"/>
        <v>0</v>
      </c>
      <c r="Y44" s="291">
        <f t="shared" si="44"/>
        <v>0</v>
      </c>
      <c r="Z44" s="335">
        <f t="shared" si="45"/>
        <v>0</v>
      </c>
      <c r="AA44" s="334">
        <f>VLOOKUP(O44,'B.0.ConsumiblesMaquinaria'!C$7:D$16,2)</f>
        <v>3.5000000000000003E-2</v>
      </c>
      <c r="AB44" s="301">
        <f t="shared" si="15"/>
        <v>0</v>
      </c>
      <c r="AC44" s="301">
        <f>+'B.0.ConsumiblesMaquinaria'!J$25</f>
        <v>4.8</v>
      </c>
      <c r="AD44" s="301">
        <f t="shared" si="78"/>
        <v>0.84</v>
      </c>
      <c r="AE44" s="300">
        <f>1*AE$106</f>
        <v>0.8</v>
      </c>
      <c r="AF44" s="300">
        <f t="shared" si="17"/>
        <v>0</v>
      </c>
      <c r="AG44" s="301">
        <f>+'B.0.ConsumiblesMaquinaria'!J$22</f>
        <v>1.7</v>
      </c>
      <c r="AH44" s="301">
        <f t="shared" si="18"/>
        <v>0</v>
      </c>
      <c r="AI44" s="301">
        <f t="shared" si="46"/>
        <v>0.84</v>
      </c>
      <c r="AJ44" s="300">
        <f t="shared" si="47"/>
        <v>0</v>
      </c>
      <c r="AK44" s="304">
        <f t="shared" si="21"/>
        <v>0</v>
      </c>
      <c r="AL44" s="300">
        <f t="shared" si="48"/>
        <v>0</v>
      </c>
      <c r="AM44" s="301">
        <f t="shared" si="49"/>
        <v>0</v>
      </c>
      <c r="AN44" s="302">
        <v>120</v>
      </c>
      <c r="AO44" s="300">
        <f t="shared" si="50"/>
        <v>0</v>
      </c>
      <c r="AP44" s="303">
        <f t="shared" si="51"/>
        <v>0</v>
      </c>
      <c r="AQ44" s="335">
        <f t="shared" si="52"/>
        <v>0</v>
      </c>
    </row>
    <row r="45" spans="1:43">
      <c r="A45" s="307">
        <v>0</v>
      </c>
      <c r="B45" s="298" t="s">
        <v>458</v>
      </c>
      <c r="C45" s="299" t="s">
        <v>410</v>
      </c>
      <c r="D45" s="299" t="s">
        <v>457</v>
      </c>
      <c r="E45" s="529">
        <v>836.25</v>
      </c>
      <c r="F45" s="525">
        <f t="shared" si="34"/>
        <v>1</v>
      </c>
      <c r="G45" s="529">
        <f t="shared" si="35"/>
        <v>836.25</v>
      </c>
      <c r="H45" s="529"/>
      <c r="I45" s="300">
        <f t="shared" si="2"/>
        <v>880</v>
      </c>
      <c r="J45" s="300">
        <v>4</v>
      </c>
      <c r="K45" s="301"/>
      <c r="L45" s="302">
        <f t="shared" si="36"/>
        <v>2025</v>
      </c>
      <c r="M45" s="302">
        <f t="shared" si="36"/>
        <v>2033</v>
      </c>
      <c r="N45" s="324">
        <f t="shared" si="36"/>
        <v>8</v>
      </c>
      <c r="O45" s="300">
        <v>1.3999999761581401</v>
      </c>
      <c r="P45" s="529">
        <f t="shared" si="37"/>
        <v>0</v>
      </c>
      <c r="Q45" s="529">
        <f t="shared" si="38"/>
        <v>0</v>
      </c>
      <c r="R45" s="529">
        <f t="shared" si="39"/>
        <v>0</v>
      </c>
      <c r="S45" s="529">
        <f t="shared" si="40"/>
        <v>0</v>
      </c>
      <c r="T45" s="529">
        <f t="shared" si="41"/>
        <v>0</v>
      </c>
      <c r="U45" s="529">
        <f t="shared" si="42"/>
        <v>0</v>
      </c>
      <c r="V45" s="529">
        <f t="shared" si="10"/>
        <v>0</v>
      </c>
      <c r="W45" s="529">
        <f t="shared" si="43"/>
        <v>0</v>
      </c>
      <c r="X45" s="291">
        <f t="shared" si="12"/>
        <v>0</v>
      </c>
      <c r="Y45" s="291">
        <f t="shared" si="44"/>
        <v>0</v>
      </c>
      <c r="Z45" s="335">
        <f t="shared" si="45"/>
        <v>0</v>
      </c>
      <c r="AA45" s="334">
        <f>VLOOKUP(O45,'B.0.ConsumiblesMaquinaria'!C$7:D$16,2)</f>
        <v>3.5000000000000003E-2</v>
      </c>
      <c r="AB45" s="301">
        <f t="shared" si="15"/>
        <v>0</v>
      </c>
      <c r="AC45" s="301">
        <f>+'B.0.ConsumiblesMaquinaria'!J$25</f>
        <v>4.8</v>
      </c>
      <c r="AD45" s="301">
        <f t="shared" si="78"/>
        <v>0.84</v>
      </c>
      <c r="AE45" s="300">
        <f>1*AE$106</f>
        <v>0.8</v>
      </c>
      <c r="AF45" s="300">
        <f t="shared" si="17"/>
        <v>0</v>
      </c>
      <c r="AG45" s="301">
        <f>+'B.0.ConsumiblesMaquinaria'!J$22</f>
        <v>1.7</v>
      </c>
      <c r="AH45" s="301">
        <f t="shared" si="18"/>
        <v>0</v>
      </c>
      <c r="AI45" s="301">
        <f t="shared" si="46"/>
        <v>0.84</v>
      </c>
      <c r="AJ45" s="300">
        <f t="shared" si="47"/>
        <v>0</v>
      </c>
      <c r="AK45" s="304">
        <f t="shared" si="21"/>
        <v>0</v>
      </c>
      <c r="AL45" s="300">
        <f t="shared" si="48"/>
        <v>0</v>
      </c>
      <c r="AM45" s="301">
        <f t="shared" si="49"/>
        <v>0</v>
      </c>
      <c r="AN45" s="302">
        <v>120</v>
      </c>
      <c r="AO45" s="300">
        <f t="shared" si="50"/>
        <v>0</v>
      </c>
      <c r="AP45" s="303">
        <f t="shared" si="51"/>
        <v>0</v>
      </c>
      <c r="AQ45" s="335">
        <f t="shared" si="52"/>
        <v>0</v>
      </c>
    </row>
    <row r="46" spans="1:43">
      <c r="A46" s="307">
        <v>0</v>
      </c>
      <c r="B46" s="298" t="s">
        <v>459</v>
      </c>
      <c r="C46" s="299" t="s">
        <v>399</v>
      </c>
      <c r="D46" s="299" t="s">
        <v>460</v>
      </c>
      <c r="E46" s="529">
        <v>10337.5</v>
      </c>
      <c r="F46" s="525">
        <f t="shared" si="34"/>
        <v>1</v>
      </c>
      <c r="G46" s="529">
        <f t="shared" si="35"/>
        <v>10337.5</v>
      </c>
      <c r="H46" s="529"/>
      <c r="I46" s="300">
        <f t="shared" si="2"/>
        <v>880</v>
      </c>
      <c r="J46" s="300">
        <v>4</v>
      </c>
      <c r="K46" s="301"/>
      <c r="L46" s="302">
        <f t="shared" si="36"/>
        <v>2025</v>
      </c>
      <c r="M46" s="302">
        <f t="shared" si="36"/>
        <v>2033</v>
      </c>
      <c r="N46" s="324">
        <f t="shared" si="36"/>
        <v>8</v>
      </c>
      <c r="O46" s="300">
        <v>15</v>
      </c>
      <c r="P46" s="529">
        <f t="shared" si="37"/>
        <v>0</v>
      </c>
      <c r="Q46" s="529">
        <f t="shared" si="38"/>
        <v>0</v>
      </c>
      <c r="R46" s="529">
        <f t="shared" si="39"/>
        <v>0</v>
      </c>
      <c r="S46" s="529">
        <f t="shared" si="40"/>
        <v>0</v>
      </c>
      <c r="T46" s="529">
        <f t="shared" si="41"/>
        <v>0</v>
      </c>
      <c r="U46" s="529">
        <f t="shared" si="42"/>
        <v>0</v>
      </c>
      <c r="V46" s="529">
        <f t="shared" si="10"/>
        <v>0</v>
      </c>
      <c r="W46" s="529">
        <f t="shared" si="43"/>
        <v>0</v>
      </c>
      <c r="X46" s="291">
        <f t="shared" si="12"/>
        <v>0</v>
      </c>
      <c r="Y46" s="291">
        <f t="shared" si="44"/>
        <v>0</v>
      </c>
      <c r="Z46" s="335">
        <f t="shared" si="45"/>
        <v>0</v>
      </c>
      <c r="AA46" s="334">
        <f>VLOOKUP(O46,'B.0.ConsumiblesMaquinaria'!C$7:D$16,2)</f>
        <v>3.5000000000000003E-2</v>
      </c>
      <c r="AB46" s="301">
        <f t="shared" si="15"/>
        <v>0</v>
      </c>
      <c r="AC46" s="301">
        <f>+'B.0.ConsumiblesMaquinaria'!J$24</f>
        <v>9.879999999999999</v>
      </c>
      <c r="AD46" s="301">
        <f t="shared" si="78"/>
        <v>1.73</v>
      </c>
      <c r="AE46" s="300">
        <f>3.20000004768371*AE$106</f>
        <v>2.5600000381469683</v>
      </c>
      <c r="AF46" s="300">
        <f t="shared" si="17"/>
        <v>0</v>
      </c>
      <c r="AG46" s="301">
        <f>+'B.0.ConsumiblesMaquinaria'!J$22</f>
        <v>1.7</v>
      </c>
      <c r="AH46" s="301">
        <f t="shared" si="18"/>
        <v>0</v>
      </c>
      <c r="AI46" s="301">
        <f t="shared" si="46"/>
        <v>1.73</v>
      </c>
      <c r="AJ46" s="300">
        <f t="shared" si="47"/>
        <v>0</v>
      </c>
      <c r="AK46" s="304">
        <f t="shared" si="21"/>
        <v>0</v>
      </c>
      <c r="AL46" s="300">
        <f t="shared" si="48"/>
        <v>0</v>
      </c>
      <c r="AM46" s="301">
        <f t="shared" si="49"/>
        <v>0</v>
      </c>
      <c r="AN46" s="302">
        <v>120</v>
      </c>
      <c r="AO46" s="300">
        <f t="shared" si="50"/>
        <v>0</v>
      </c>
      <c r="AP46" s="303">
        <f t="shared" si="51"/>
        <v>0</v>
      </c>
      <c r="AQ46" s="335">
        <f t="shared" si="52"/>
        <v>0</v>
      </c>
    </row>
    <row r="47" spans="1:43">
      <c r="A47" s="307">
        <v>1</v>
      </c>
      <c r="B47" s="298" t="s">
        <v>461</v>
      </c>
      <c r="C47" s="299" t="s">
        <v>399</v>
      </c>
      <c r="D47" s="299" t="s">
        <v>460</v>
      </c>
      <c r="E47" s="529">
        <v>12913.95</v>
      </c>
      <c r="F47" s="525">
        <f t="shared" si="34"/>
        <v>1</v>
      </c>
      <c r="G47" s="529">
        <f t="shared" si="35"/>
        <v>12913.95</v>
      </c>
      <c r="H47" s="529"/>
      <c r="I47" s="300">
        <f t="shared" si="2"/>
        <v>880</v>
      </c>
      <c r="J47" s="300">
        <v>4</v>
      </c>
      <c r="K47" s="301"/>
      <c r="L47" s="302">
        <f t="shared" si="36"/>
        <v>2025</v>
      </c>
      <c r="M47" s="302">
        <f t="shared" si="36"/>
        <v>2033</v>
      </c>
      <c r="N47" s="324">
        <f t="shared" si="36"/>
        <v>8</v>
      </c>
      <c r="O47" s="300">
        <v>20</v>
      </c>
      <c r="P47" s="529">
        <f t="shared" si="37"/>
        <v>12913.95</v>
      </c>
      <c r="Q47" s="529">
        <f t="shared" si="38"/>
        <v>3228.4875000000002</v>
      </c>
      <c r="R47" s="529">
        <f t="shared" si="39"/>
        <v>3228.4875000000002</v>
      </c>
      <c r="S47" s="529">
        <f t="shared" si="40"/>
        <v>447.29793961265614</v>
      </c>
      <c r="T47" s="529">
        <f t="shared" si="41"/>
        <v>447.29793961265614</v>
      </c>
      <c r="U47" s="529">
        <f t="shared" si="42"/>
        <v>3675.7854396126563</v>
      </c>
      <c r="V47" s="529">
        <f t="shared" si="10"/>
        <v>403.56093750000002</v>
      </c>
      <c r="W47" s="529">
        <f t="shared" si="43"/>
        <v>403.56093750000002</v>
      </c>
      <c r="X47" s="291">
        <f t="shared" si="12"/>
        <v>0</v>
      </c>
      <c r="Y47" s="291">
        <f t="shared" si="44"/>
        <v>4079.3463771126562</v>
      </c>
      <c r="Z47" s="335">
        <f t="shared" si="45"/>
        <v>4079.3463771126562</v>
      </c>
      <c r="AA47" s="334">
        <f>VLOOKUP(O47,'B.0.ConsumiblesMaquinaria'!C$7:D$16,2)</f>
        <v>3.5000000000000003E-2</v>
      </c>
      <c r="AB47" s="301">
        <f t="shared" si="15"/>
        <v>30.800000000000004</v>
      </c>
      <c r="AC47" s="301">
        <f>+'B.0.ConsumiblesMaquinaria'!J$24</f>
        <v>9.879999999999999</v>
      </c>
      <c r="AD47" s="301">
        <f t="shared" si="78"/>
        <v>1.73</v>
      </c>
      <c r="AE47" s="300">
        <f>4*AE$106</f>
        <v>3.2</v>
      </c>
      <c r="AF47" s="300">
        <f t="shared" si="17"/>
        <v>2816</v>
      </c>
      <c r="AG47" s="301">
        <f>+'B.0.ConsumiblesMaquinaria'!J$22</f>
        <v>1.7</v>
      </c>
      <c r="AH47" s="301">
        <f t="shared" si="18"/>
        <v>27.2</v>
      </c>
      <c r="AI47" s="301">
        <f t="shared" si="46"/>
        <v>28.93</v>
      </c>
      <c r="AJ47" s="300">
        <f t="shared" si="47"/>
        <v>3471.6</v>
      </c>
      <c r="AK47" s="304">
        <f t="shared" si="21"/>
        <v>1.2913950000000001</v>
      </c>
      <c r="AL47" s="300">
        <f t="shared" si="48"/>
        <v>154.9674</v>
      </c>
      <c r="AM47" s="301">
        <f t="shared" si="49"/>
        <v>30.221395000000001</v>
      </c>
      <c r="AN47" s="302">
        <v>120</v>
      </c>
      <c r="AO47" s="300">
        <f t="shared" si="50"/>
        <v>3626.5673999999999</v>
      </c>
      <c r="AP47" s="303">
        <f t="shared" si="51"/>
        <v>3626.5673999999999</v>
      </c>
      <c r="AQ47" s="335">
        <f t="shared" si="52"/>
        <v>7705.9137771126561</v>
      </c>
    </row>
    <row r="48" spans="1:43">
      <c r="A48" s="307">
        <v>0</v>
      </c>
      <c r="B48" s="298" t="s">
        <v>462</v>
      </c>
      <c r="C48" s="299" t="s">
        <v>399</v>
      </c>
      <c r="D48" s="299" t="s">
        <v>463</v>
      </c>
      <c r="E48" s="529">
        <v>33750</v>
      </c>
      <c r="F48" s="525">
        <f t="shared" si="34"/>
        <v>1</v>
      </c>
      <c r="G48" s="529">
        <f t="shared" si="35"/>
        <v>33750</v>
      </c>
      <c r="H48" s="529"/>
      <c r="I48" s="300">
        <f t="shared" si="2"/>
        <v>880</v>
      </c>
      <c r="J48" s="300">
        <v>4</v>
      </c>
      <c r="K48" s="301"/>
      <c r="L48" s="302">
        <f t="shared" si="36"/>
        <v>2025</v>
      </c>
      <c r="M48" s="302">
        <f t="shared" si="36"/>
        <v>2033</v>
      </c>
      <c r="N48" s="324">
        <f t="shared" si="36"/>
        <v>8</v>
      </c>
      <c r="O48" s="300">
        <v>115</v>
      </c>
      <c r="P48" s="529">
        <f t="shared" si="37"/>
        <v>0</v>
      </c>
      <c r="Q48" s="529">
        <f t="shared" si="38"/>
        <v>0</v>
      </c>
      <c r="R48" s="529">
        <f t="shared" si="39"/>
        <v>0</v>
      </c>
      <c r="S48" s="529">
        <f t="shared" si="40"/>
        <v>0</v>
      </c>
      <c r="T48" s="529">
        <f t="shared" si="41"/>
        <v>0</v>
      </c>
      <c r="U48" s="529">
        <f t="shared" si="42"/>
        <v>0</v>
      </c>
      <c r="V48" s="529">
        <f t="shared" si="10"/>
        <v>0</v>
      </c>
      <c r="W48" s="529">
        <f t="shared" si="43"/>
        <v>0</v>
      </c>
      <c r="X48" s="291">
        <f t="shared" si="12"/>
        <v>0</v>
      </c>
      <c r="Y48" s="291">
        <f t="shared" si="44"/>
        <v>0</v>
      </c>
      <c r="Z48" s="335">
        <f t="shared" si="45"/>
        <v>0</v>
      </c>
      <c r="AA48" s="334">
        <f>VLOOKUP(O48,'B.0.ConsumiblesMaquinaria'!C$7:D$16,2)</f>
        <v>0.1</v>
      </c>
      <c r="AB48" s="301">
        <f t="shared" si="15"/>
        <v>0</v>
      </c>
      <c r="AC48" s="301">
        <f>+'B.0.ConsumiblesMaquinaria'!J$24</f>
        <v>9.879999999999999</v>
      </c>
      <c r="AD48" s="301">
        <f t="shared" si="78"/>
        <v>4.9400000000000004</v>
      </c>
      <c r="AE48" s="300">
        <f>3*AE$106</f>
        <v>2.4000000000000004</v>
      </c>
      <c r="AF48" s="300">
        <f t="shared" si="17"/>
        <v>0</v>
      </c>
      <c r="AG48" s="301">
        <f>+'B.0.ConsumiblesMaquinaria'!J$22</f>
        <v>1.7</v>
      </c>
      <c r="AH48" s="301">
        <f t="shared" si="18"/>
        <v>0</v>
      </c>
      <c r="AI48" s="301">
        <f t="shared" si="46"/>
        <v>4.9400000000000004</v>
      </c>
      <c r="AJ48" s="300">
        <f t="shared" si="47"/>
        <v>0</v>
      </c>
      <c r="AK48" s="304">
        <f t="shared" si="21"/>
        <v>0</v>
      </c>
      <c r="AL48" s="300">
        <f t="shared" si="48"/>
        <v>0</v>
      </c>
      <c r="AM48" s="301">
        <f t="shared" si="49"/>
        <v>0</v>
      </c>
      <c r="AN48" s="302">
        <v>120</v>
      </c>
      <c r="AO48" s="300">
        <f t="shared" si="50"/>
        <v>0</v>
      </c>
      <c r="AP48" s="303">
        <f t="shared" si="51"/>
        <v>0</v>
      </c>
      <c r="AQ48" s="335">
        <f t="shared" si="52"/>
        <v>0</v>
      </c>
    </row>
    <row r="49" spans="1:43">
      <c r="A49" s="307">
        <v>1</v>
      </c>
      <c r="B49" s="325" t="s">
        <v>464</v>
      </c>
      <c r="C49" s="326" t="s">
        <v>399</v>
      </c>
      <c r="D49" s="326" t="s">
        <v>465</v>
      </c>
      <c r="E49" s="530">
        <v>9000</v>
      </c>
      <c r="F49" s="526">
        <f t="shared" si="34"/>
        <v>1</v>
      </c>
      <c r="G49" s="530">
        <f t="shared" si="35"/>
        <v>9000</v>
      </c>
      <c r="H49" s="530"/>
      <c r="I49" s="327">
        <f>22*4*AR$1</f>
        <v>440</v>
      </c>
      <c r="J49" s="327">
        <v>4</v>
      </c>
      <c r="K49" s="328"/>
      <c r="L49" s="329">
        <f t="shared" si="36"/>
        <v>2025</v>
      </c>
      <c r="M49" s="329">
        <f t="shared" si="36"/>
        <v>2033</v>
      </c>
      <c r="N49" s="324">
        <f t="shared" si="36"/>
        <v>8</v>
      </c>
      <c r="O49" s="327">
        <v>6</v>
      </c>
      <c r="P49" s="530">
        <f t="shared" si="37"/>
        <v>9000</v>
      </c>
      <c r="Q49" s="530">
        <f t="shared" si="38"/>
        <v>2250</v>
      </c>
      <c r="R49" s="530">
        <f t="shared" si="39"/>
        <v>2250</v>
      </c>
      <c r="S49" s="530">
        <f t="shared" si="40"/>
        <v>311.73122526522911</v>
      </c>
      <c r="T49" s="530">
        <f t="shared" si="41"/>
        <v>311.73122526522911</v>
      </c>
      <c r="U49" s="530">
        <f t="shared" si="42"/>
        <v>2561.7312252652291</v>
      </c>
      <c r="V49" s="530">
        <f t="shared" si="10"/>
        <v>281.25</v>
      </c>
      <c r="W49" s="530">
        <f t="shared" si="43"/>
        <v>281.25</v>
      </c>
      <c r="X49" s="310">
        <f t="shared" si="12"/>
        <v>0</v>
      </c>
      <c r="Y49" s="310">
        <f t="shared" si="44"/>
        <v>2842.9812252652291</v>
      </c>
      <c r="Z49" s="339">
        <f t="shared" si="45"/>
        <v>2842.9812252652291</v>
      </c>
      <c r="AA49" s="336">
        <f>VLOOKUP(O49,'B.0.ConsumiblesMaquinaria'!C$7:D$16,2)</f>
        <v>3.5000000000000003E-2</v>
      </c>
      <c r="AB49" s="328">
        <f t="shared" si="15"/>
        <v>15.400000000000002</v>
      </c>
      <c r="AC49" s="328">
        <f>+'B.0.ConsumiblesMaquinaria'!J$24</f>
        <v>9.879999999999999</v>
      </c>
      <c r="AD49" s="328">
        <f t="shared" si="78"/>
        <v>1.73</v>
      </c>
      <c r="AE49" s="327">
        <f>1.5*AE$106</f>
        <v>1.2000000000000002</v>
      </c>
      <c r="AF49" s="327">
        <f t="shared" si="17"/>
        <v>528</v>
      </c>
      <c r="AG49" s="328">
        <f>+'B.0.ConsumiblesMaquinaria'!J$22</f>
        <v>1.7</v>
      </c>
      <c r="AH49" s="328">
        <f t="shared" si="18"/>
        <v>10.199999999999999</v>
      </c>
      <c r="AI49" s="328">
        <f t="shared" si="46"/>
        <v>11.93</v>
      </c>
      <c r="AJ49" s="327">
        <f t="shared" si="47"/>
        <v>1431.6</v>
      </c>
      <c r="AK49" s="337">
        <f t="shared" si="21"/>
        <v>0.9</v>
      </c>
      <c r="AL49" s="327">
        <f t="shared" si="48"/>
        <v>108</v>
      </c>
      <c r="AM49" s="328">
        <f t="shared" si="49"/>
        <v>12.83</v>
      </c>
      <c r="AN49" s="329">
        <v>120</v>
      </c>
      <c r="AO49" s="327">
        <f t="shared" si="50"/>
        <v>1539.6</v>
      </c>
      <c r="AP49" s="338">
        <f t="shared" si="51"/>
        <v>1539.6</v>
      </c>
      <c r="AQ49" s="339">
        <f t="shared" si="52"/>
        <v>4382.5812252652286</v>
      </c>
    </row>
    <row r="50" spans="1:43">
      <c r="A50" s="819" t="s">
        <v>466</v>
      </c>
      <c r="B50" s="820"/>
      <c r="C50" s="820"/>
      <c r="D50" s="93"/>
      <c r="E50" s="531"/>
      <c r="F50" s="93"/>
      <c r="G50" s="93"/>
      <c r="H50" s="532"/>
      <c r="I50" s="93"/>
      <c r="J50" s="93"/>
      <c r="K50" s="93"/>
      <c r="L50" s="96"/>
      <c r="M50" s="96"/>
      <c r="N50" s="96"/>
      <c r="O50" s="93"/>
      <c r="P50" s="531"/>
      <c r="Q50" s="531"/>
      <c r="R50" s="531"/>
      <c r="S50" s="531"/>
      <c r="T50" s="531"/>
      <c r="U50" s="531"/>
      <c r="V50" s="531"/>
      <c r="W50" s="531"/>
      <c r="X50" s="531"/>
      <c r="Y50" s="531"/>
      <c r="Z50" s="531"/>
      <c r="AA50" s="93"/>
      <c r="AB50" s="93"/>
      <c r="AC50" s="93"/>
      <c r="AD50" s="93"/>
      <c r="AE50" s="93"/>
      <c r="AF50" s="93"/>
      <c r="AG50" s="93"/>
      <c r="AH50" s="93"/>
      <c r="AI50" s="93"/>
      <c r="AJ50" s="431"/>
      <c r="AK50" s="93"/>
      <c r="AL50" s="431"/>
      <c r="AM50" s="93"/>
      <c r="AN50" s="93"/>
      <c r="AO50" s="93"/>
      <c r="AP50" s="93"/>
      <c r="AQ50" s="342"/>
    </row>
    <row r="51" spans="1:43">
      <c r="A51" s="307">
        <v>4</v>
      </c>
      <c r="B51" s="320" t="s">
        <v>467</v>
      </c>
      <c r="C51" s="321" t="s">
        <v>341</v>
      </c>
      <c r="D51" s="321" t="s">
        <v>468</v>
      </c>
      <c r="E51" s="528">
        <v>98.75</v>
      </c>
      <c r="F51" s="524">
        <f t="shared" ref="F51:F56" si="79">$F$6</f>
        <v>1</v>
      </c>
      <c r="G51" s="528">
        <f t="shared" ref="G51:G56" si="80">E51*F51</f>
        <v>98.75</v>
      </c>
      <c r="H51" s="528"/>
      <c r="I51" s="322">
        <f>22*12*AR$1</f>
        <v>1320</v>
      </c>
      <c r="J51" s="322">
        <v>4</v>
      </c>
      <c r="K51" s="323"/>
      <c r="L51" s="324">
        <f t="shared" ref="L51:N56" si="81">L$4</f>
        <v>2025</v>
      </c>
      <c r="M51" s="324">
        <f t="shared" si="81"/>
        <v>2033</v>
      </c>
      <c r="N51" s="324">
        <f t="shared" si="81"/>
        <v>8</v>
      </c>
      <c r="O51" s="322">
        <v>1.1000000238418599</v>
      </c>
      <c r="P51" s="528">
        <f t="shared" ref="P51:P56" si="82">E51*A51</f>
        <v>395</v>
      </c>
      <c r="Q51" s="528">
        <f t="shared" ref="Q51:Q56" si="83">IF(A51&gt;0,E51/J51,0)</f>
        <v>24.6875</v>
      </c>
      <c r="R51" s="528">
        <f t="shared" ref="R51:R56" si="84">Q51*A51</f>
        <v>98.75</v>
      </c>
      <c r="S51" s="528">
        <f t="shared" ref="S51:S56" si="85">IF(A51=0,0,PMT($S$6,J51,-G51))-Q51</f>
        <v>3.4203842772157067</v>
      </c>
      <c r="T51" s="528">
        <f t="shared" ref="T51:T56" si="86">S51*A51</f>
        <v>13.681537108862827</v>
      </c>
      <c r="U51" s="528">
        <f t="shared" ref="U51:U56" si="87">(S51+Q51)*A51</f>
        <v>112.43153710886283</v>
      </c>
      <c r="V51" s="528">
        <f t="shared" si="10"/>
        <v>3.0859375</v>
      </c>
      <c r="W51" s="528">
        <f t="shared" ref="W51:W56" si="88">V51*A51</f>
        <v>12.34375</v>
      </c>
      <c r="X51" s="306">
        <f t="shared" si="12"/>
        <v>0</v>
      </c>
      <c r="Y51" s="306">
        <f t="shared" ref="Y51:Y56" si="89">IF(A51&gt;0,(Q51+S51+V51),0)</f>
        <v>31.193821777215707</v>
      </c>
      <c r="Z51" s="333">
        <f t="shared" ref="Z51:Z56" si="90">(Q51+S51+V51)*A51</f>
        <v>124.77528710886283</v>
      </c>
      <c r="AA51" s="330">
        <v>0</v>
      </c>
      <c r="AB51" s="323">
        <f t="shared" si="15"/>
        <v>0</v>
      </c>
      <c r="AC51" s="323">
        <v>0</v>
      </c>
      <c r="AD51" s="323">
        <f t="shared" ref="AD51:AD56" si="91">+ROUND(AA51*AR$1*AC51,2)</f>
        <v>0</v>
      </c>
      <c r="AE51" s="322">
        <f>0*AE$106</f>
        <v>0</v>
      </c>
      <c r="AF51" s="322">
        <f t="shared" si="17"/>
        <v>0</v>
      </c>
      <c r="AG51" s="323">
        <v>0</v>
      </c>
      <c r="AH51" s="323">
        <f t="shared" si="18"/>
        <v>0</v>
      </c>
      <c r="AI51" s="323">
        <f t="shared" ref="AI51:AI56" si="92">AH51+AD51</f>
        <v>0</v>
      </c>
      <c r="AJ51" s="322">
        <f t="shared" ref="AJ51:AJ56" si="93">(AI51*AN51)*A51</f>
        <v>0</v>
      </c>
      <c r="AK51" s="331">
        <f t="shared" si="21"/>
        <v>9.8750000000000001E-3</v>
      </c>
      <c r="AL51" s="322">
        <f t="shared" ref="AL51:AL56" si="94">(AK51*AN51)*A51</f>
        <v>8.69</v>
      </c>
      <c r="AM51" s="323">
        <f t="shared" ref="AM51:AM56" si="95">IF(A51&gt;0,(AH51+AD51+AK51),0)</f>
        <v>9.8750000000000001E-3</v>
      </c>
      <c r="AN51" s="324">
        <v>220</v>
      </c>
      <c r="AO51" s="322">
        <f t="shared" ref="AO51:AO56" si="96">AN51*AM51</f>
        <v>2.1724999999999999</v>
      </c>
      <c r="AP51" s="332">
        <f t="shared" ref="AP51:AP56" si="97">AO51*A51</f>
        <v>8.69</v>
      </c>
      <c r="AQ51" s="333">
        <f t="shared" ref="AQ51:AQ56" si="98">AP51+Z51</f>
        <v>133.46528710886284</v>
      </c>
    </row>
    <row r="52" spans="1:43">
      <c r="A52" s="307">
        <v>1</v>
      </c>
      <c r="B52" s="298" t="s">
        <v>469</v>
      </c>
      <c r="C52" s="299" t="s">
        <v>341</v>
      </c>
      <c r="D52" s="299" t="s">
        <v>466</v>
      </c>
      <c r="E52" s="529">
        <v>2987.5</v>
      </c>
      <c r="F52" s="525">
        <f t="shared" si="79"/>
        <v>1</v>
      </c>
      <c r="G52" s="529">
        <f t="shared" si="80"/>
        <v>2987.5</v>
      </c>
      <c r="H52" s="529"/>
      <c r="I52" s="300">
        <f>22*6*AR$1</f>
        <v>660</v>
      </c>
      <c r="J52" s="300">
        <v>4</v>
      </c>
      <c r="K52" s="301"/>
      <c r="L52" s="302">
        <f t="shared" si="81"/>
        <v>2025</v>
      </c>
      <c r="M52" s="302">
        <f t="shared" si="81"/>
        <v>2033</v>
      </c>
      <c r="N52" s="302">
        <f t="shared" si="81"/>
        <v>8</v>
      </c>
      <c r="O52" s="300">
        <v>0</v>
      </c>
      <c r="P52" s="529">
        <f t="shared" si="82"/>
        <v>2987.5</v>
      </c>
      <c r="Q52" s="529">
        <f t="shared" si="83"/>
        <v>746.875</v>
      </c>
      <c r="R52" s="529">
        <f t="shared" si="84"/>
        <v>746.875</v>
      </c>
      <c r="S52" s="529">
        <f t="shared" si="85"/>
        <v>103.47744838665244</v>
      </c>
      <c r="T52" s="529">
        <f t="shared" si="86"/>
        <v>103.47744838665244</v>
      </c>
      <c r="U52" s="529">
        <f t="shared" si="87"/>
        <v>850.35244838665244</v>
      </c>
      <c r="V52" s="529">
        <f t="shared" si="10"/>
        <v>93.359375</v>
      </c>
      <c r="W52" s="529">
        <f t="shared" si="88"/>
        <v>93.359375</v>
      </c>
      <c r="X52" s="291">
        <f t="shared" si="12"/>
        <v>0</v>
      </c>
      <c r="Y52" s="291">
        <f t="shared" si="89"/>
        <v>943.71182338665244</v>
      </c>
      <c r="Z52" s="335">
        <f t="shared" si="90"/>
        <v>943.71182338665244</v>
      </c>
      <c r="AA52" s="334">
        <v>0</v>
      </c>
      <c r="AB52" s="301">
        <f t="shared" si="15"/>
        <v>0</v>
      </c>
      <c r="AC52" s="301">
        <v>0</v>
      </c>
      <c r="AD52" s="301">
        <f t="shared" si="91"/>
        <v>0</v>
      </c>
      <c r="AE52" s="300">
        <f>0*AE$106</f>
        <v>0</v>
      </c>
      <c r="AF52" s="300">
        <f t="shared" si="17"/>
        <v>0</v>
      </c>
      <c r="AG52" s="301">
        <v>0</v>
      </c>
      <c r="AH52" s="301">
        <f t="shared" si="18"/>
        <v>0</v>
      </c>
      <c r="AI52" s="301">
        <f t="shared" si="92"/>
        <v>0</v>
      </c>
      <c r="AJ52" s="300">
        <f t="shared" si="93"/>
        <v>0</v>
      </c>
      <c r="AK52" s="304">
        <f t="shared" si="21"/>
        <v>0.29875000000000002</v>
      </c>
      <c r="AL52" s="300">
        <f t="shared" si="94"/>
        <v>65.725000000000009</v>
      </c>
      <c r="AM52" s="301">
        <f t="shared" si="95"/>
        <v>0.29875000000000002</v>
      </c>
      <c r="AN52" s="302">
        <v>220</v>
      </c>
      <c r="AO52" s="300">
        <f t="shared" si="96"/>
        <v>65.725000000000009</v>
      </c>
      <c r="AP52" s="303">
        <f t="shared" si="97"/>
        <v>65.725000000000009</v>
      </c>
      <c r="AQ52" s="335">
        <f t="shared" si="98"/>
        <v>1009.4368233866525</v>
      </c>
    </row>
    <row r="53" spans="1:43">
      <c r="A53" s="307">
        <v>0</v>
      </c>
      <c r="B53" s="298" t="s">
        <v>470</v>
      </c>
      <c r="C53" s="299" t="s">
        <v>341</v>
      </c>
      <c r="D53" s="299" t="s">
        <v>466</v>
      </c>
      <c r="E53" s="529">
        <v>1848.75</v>
      </c>
      <c r="F53" s="525">
        <f t="shared" si="79"/>
        <v>1</v>
      </c>
      <c r="G53" s="529">
        <f t="shared" si="80"/>
        <v>1848.75</v>
      </c>
      <c r="H53" s="529"/>
      <c r="I53" s="300">
        <f>22*6*AR$1</f>
        <v>660</v>
      </c>
      <c r="J53" s="300">
        <v>4</v>
      </c>
      <c r="K53" s="301"/>
      <c r="L53" s="302">
        <f t="shared" si="81"/>
        <v>2025</v>
      </c>
      <c r="M53" s="302">
        <f t="shared" si="81"/>
        <v>2033</v>
      </c>
      <c r="N53" s="302">
        <f t="shared" si="81"/>
        <v>8</v>
      </c>
      <c r="O53" s="300">
        <v>10.6000003814697</v>
      </c>
      <c r="P53" s="529">
        <f t="shared" si="82"/>
        <v>0</v>
      </c>
      <c r="Q53" s="529">
        <f t="shared" si="83"/>
        <v>0</v>
      </c>
      <c r="R53" s="529">
        <f t="shared" si="84"/>
        <v>0</v>
      </c>
      <c r="S53" s="529">
        <f t="shared" si="85"/>
        <v>0</v>
      </c>
      <c r="T53" s="529">
        <f t="shared" si="86"/>
        <v>0</v>
      </c>
      <c r="U53" s="529">
        <f t="shared" si="87"/>
        <v>0</v>
      </c>
      <c r="V53" s="529">
        <f t="shared" si="10"/>
        <v>0</v>
      </c>
      <c r="W53" s="529">
        <f t="shared" si="88"/>
        <v>0</v>
      </c>
      <c r="X53" s="291">
        <f t="shared" si="12"/>
        <v>0</v>
      </c>
      <c r="Y53" s="291">
        <f t="shared" si="89"/>
        <v>0</v>
      </c>
      <c r="Z53" s="335">
        <f t="shared" si="90"/>
        <v>0</v>
      </c>
      <c r="AA53" s="334">
        <v>0</v>
      </c>
      <c r="AB53" s="301">
        <f t="shared" si="15"/>
        <v>0</v>
      </c>
      <c r="AC53" s="301">
        <v>0</v>
      </c>
      <c r="AD53" s="301">
        <f t="shared" si="91"/>
        <v>0</v>
      </c>
      <c r="AE53" s="300">
        <f>0.200000002980232*AE$106</f>
        <v>0.1600000023841856</v>
      </c>
      <c r="AF53" s="300">
        <f t="shared" si="17"/>
        <v>0</v>
      </c>
      <c r="AG53" s="301">
        <v>0</v>
      </c>
      <c r="AH53" s="301">
        <f t="shared" si="18"/>
        <v>0</v>
      </c>
      <c r="AI53" s="301">
        <f t="shared" si="92"/>
        <v>0</v>
      </c>
      <c r="AJ53" s="300">
        <f t="shared" si="93"/>
        <v>0</v>
      </c>
      <c r="AK53" s="304">
        <f t="shared" si="21"/>
        <v>0</v>
      </c>
      <c r="AL53" s="300">
        <f t="shared" si="94"/>
        <v>0</v>
      </c>
      <c r="AM53" s="301">
        <f t="shared" si="95"/>
        <v>0</v>
      </c>
      <c r="AN53" s="302">
        <v>220</v>
      </c>
      <c r="AO53" s="300">
        <f t="shared" si="96"/>
        <v>0</v>
      </c>
      <c r="AP53" s="303">
        <f t="shared" si="97"/>
        <v>0</v>
      </c>
      <c r="AQ53" s="335">
        <f t="shared" si="98"/>
        <v>0</v>
      </c>
    </row>
    <row r="54" spans="1:43">
      <c r="A54" s="307">
        <v>0</v>
      </c>
      <c r="B54" s="298" t="s">
        <v>471</v>
      </c>
      <c r="C54" s="299" t="s">
        <v>399</v>
      </c>
      <c r="D54" s="299" t="s">
        <v>472</v>
      </c>
      <c r="E54" s="529">
        <v>12062.5</v>
      </c>
      <c r="F54" s="525">
        <f t="shared" si="79"/>
        <v>1</v>
      </c>
      <c r="G54" s="529">
        <f t="shared" si="80"/>
        <v>12062.5</v>
      </c>
      <c r="H54" s="529"/>
      <c r="I54" s="300">
        <f>22*4*AR$1</f>
        <v>440</v>
      </c>
      <c r="J54" s="300">
        <v>4</v>
      </c>
      <c r="K54" s="301"/>
      <c r="L54" s="302">
        <f t="shared" si="81"/>
        <v>2025</v>
      </c>
      <c r="M54" s="302">
        <f t="shared" si="81"/>
        <v>2033</v>
      </c>
      <c r="N54" s="302">
        <f t="shared" si="81"/>
        <v>8</v>
      </c>
      <c r="O54" s="300">
        <v>0</v>
      </c>
      <c r="P54" s="529">
        <f t="shared" si="82"/>
        <v>0</v>
      </c>
      <c r="Q54" s="529">
        <f t="shared" si="83"/>
        <v>0</v>
      </c>
      <c r="R54" s="529">
        <f t="shared" si="84"/>
        <v>0</v>
      </c>
      <c r="S54" s="529">
        <f t="shared" si="85"/>
        <v>0</v>
      </c>
      <c r="T54" s="529">
        <f t="shared" si="86"/>
        <v>0</v>
      </c>
      <c r="U54" s="529">
        <f t="shared" si="87"/>
        <v>0</v>
      </c>
      <c r="V54" s="529">
        <f t="shared" si="10"/>
        <v>0</v>
      </c>
      <c r="W54" s="529">
        <f t="shared" si="88"/>
        <v>0</v>
      </c>
      <c r="X54" s="291">
        <f t="shared" si="12"/>
        <v>0</v>
      </c>
      <c r="Y54" s="291">
        <f t="shared" si="89"/>
        <v>0</v>
      </c>
      <c r="Z54" s="335">
        <f t="shared" si="90"/>
        <v>0</v>
      </c>
      <c r="AA54" s="334">
        <f>VLOOKUP(O54,'B.0.ConsumiblesMaquinaria'!C$7:D$16,2)</f>
        <v>3.5000000000000003E-2</v>
      </c>
      <c r="AB54" s="301">
        <f t="shared" si="15"/>
        <v>0</v>
      </c>
      <c r="AC54" s="301">
        <f>+'B.0.ConsumiblesMaquinaria'!J$24</f>
        <v>9.879999999999999</v>
      </c>
      <c r="AD54" s="301">
        <f t="shared" si="91"/>
        <v>1.73</v>
      </c>
      <c r="AE54" s="300">
        <f>0*AE$106</f>
        <v>0</v>
      </c>
      <c r="AF54" s="300">
        <f t="shared" si="17"/>
        <v>0</v>
      </c>
      <c r="AG54" s="301">
        <f>+'B.0.ConsumiblesMaquinaria'!J$22</f>
        <v>1.7</v>
      </c>
      <c r="AH54" s="301">
        <f t="shared" si="18"/>
        <v>0</v>
      </c>
      <c r="AI54" s="301">
        <f t="shared" si="92"/>
        <v>1.73</v>
      </c>
      <c r="AJ54" s="300">
        <f t="shared" si="93"/>
        <v>0</v>
      </c>
      <c r="AK54" s="304">
        <f t="shared" si="21"/>
        <v>0</v>
      </c>
      <c r="AL54" s="300">
        <f t="shared" si="94"/>
        <v>0</v>
      </c>
      <c r="AM54" s="301">
        <f t="shared" si="95"/>
        <v>0</v>
      </c>
      <c r="AN54" s="302">
        <v>220</v>
      </c>
      <c r="AO54" s="300">
        <f t="shared" si="96"/>
        <v>0</v>
      </c>
      <c r="AP54" s="303">
        <f t="shared" si="97"/>
        <v>0</v>
      </c>
      <c r="AQ54" s="335">
        <f t="shared" si="98"/>
        <v>0</v>
      </c>
    </row>
    <row r="55" spans="1:43">
      <c r="A55" s="307">
        <v>16</v>
      </c>
      <c r="B55" s="298" t="s">
        <v>473</v>
      </c>
      <c r="C55" s="299" t="s">
        <v>410</v>
      </c>
      <c r="D55" s="299" t="s">
        <v>468</v>
      </c>
      <c r="E55" s="529">
        <v>681.25</v>
      </c>
      <c r="F55" s="525">
        <f t="shared" si="79"/>
        <v>1</v>
      </c>
      <c r="G55" s="529">
        <f t="shared" si="80"/>
        <v>681.25</v>
      </c>
      <c r="H55" s="529"/>
      <c r="I55" s="300">
        <f>22*12*AR$1</f>
        <v>1320</v>
      </c>
      <c r="J55" s="300">
        <v>4</v>
      </c>
      <c r="K55" s="301"/>
      <c r="L55" s="302">
        <f t="shared" si="81"/>
        <v>2025</v>
      </c>
      <c r="M55" s="302">
        <f t="shared" si="81"/>
        <v>2033</v>
      </c>
      <c r="N55" s="302">
        <f t="shared" si="81"/>
        <v>8</v>
      </c>
      <c r="O55" s="300">
        <v>1.1000000000000001</v>
      </c>
      <c r="P55" s="529">
        <f t="shared" si="82"/>
        <v>10900</v>
      </c>
      <c r="Q55" s="529">
        <f t="shared" si="83"/>
        <v>170.3125</v>
      </c>
      <c r="R55" s="529">
        <f t="shared" si="84"/>
        <v>2725</v>
      </c>
      <c r="S55" s="529">
        <f t="shared" si="85"/>
        <v>23.596321912437475</v>
      </c>
      <c r="T55" s="529">
        <f t="shared" si="86"/>
        <v>377.54115059899959</v>
      </c>
      <c r="U55" s="529">
        <f t="shared" si="87"/>
        <v>3102.5411505989996</v>
      </c>
      <c r="V55" s="529">
        <f t="shared" si="10"/>
        <v>21.2890625</v>
      </c>
      <c r="W55" s="529">
        <f t="shared" si="88"/>
        <v>340.625</v>
      </c>
      <c r="X55" s="291">
        <f t="shared" si="12"/>
        <v>0</v>
      </c>
      <c r="Y55" s="291">
        <f t="shared" si="89"/>
        <v>215.19788441243747</v>
      </c>
      <c r="Z55" s="335">
        <f t="shared" si="90"/>
        <v>3443.1661505989996</v>
      </c>
      <c r="AA55" s="334">
        <f>VLOOKUP(O55,'B.0.ConsumiblesMaquinaria'!C$7:D$16,2)</f>
        <v>3.5000000000000003E-2</v>
      </c>
      <c r="AB55" s="301">
        <f t="shared" si="15"/>
        <v>46.2</v>
      </c>
      <c r="AC55" s="301">
        <f>+'B.0.ConsumiblesMaquinaria'!J$25</f>
        <v>4.8</v>
      </c>
      <c r="AD55" s="301">
        <f t="shared" si="91"/>
        <v>0.84</v>
      </c>
      <c r="AE55" s="300">
        <f>0.5*AE$106</f>
        <v>0.4</v>
      </c>
      <c r="AF55" s="300">
        <f t="shared" si="17"/>
        <v>528</v>
      </c>
      <c r="AG55" s="301">
        <f>+'B.0.ConsumiblesMaquinaria'!J$22</f>
        <v>1.7</v>
      </c>
      <c r="AH55" s="301">
        <f t="shared" si="18"/>
        <v>3.4</v>
      </c>
      <c r="AI55" s="301">
        <f t="shared" si="92"/>
        <v>4.24</v>
      </c>
      <c r="AJ55" s="300">
        <f t="shared" si="93"/>
        <v>14924.800000000001</v>
      </c>
      <c r="AK55" s="304">
        <f t="shared" si="21"/>
        <v>6.8125000000000005E-2</v>
      </c>
      <c r="AL55" s="300">
        <f t="shared" si="94"/>
        <v>239.8</v>
      </c>
      <c r="AM55" s="301">
        <f t="shared" si="95"/>
        <v>4.3081250000000004</v>
      </c>
      <c r="AN55" s="302">
        <v>220</v>
      </c>
      <c r="AO55" s="300">
        <f t="shared" si="96"/>
        <v>947.78750000000014</v>
      </c>
      <c r="AP55" s="303">
        <f t="shared" si="97"/>
        <v>15164.600000000002</v>
      </c>
      <c r="AQ55" s="335">
        <f t="shared" si="98"/>
        <v>18607.766150599004</v>
      </c>
    </row>
    <row r="56" spans="1:43">
      <c r="A56" s="307">
        <v>0</v>
      </c>
      <c r="B56" s="325" t="s">
        <v>474</v>
      </c>
      <c r="C56" s="326"/>
      <c r="D56" s="326" t="s">
        <v>466</v>
      </c>
      <c r="E56" s="530">
        <v>1875</v>
      </c>
      <c r="F56" s="526">
        <f t="shared" si="79"/>
        <v>1</v>
      </c>
      <c r="G56" s="530">
        <f t="shared" si="80"/>
        <v>1875</v>
      </c>
      <c r="H56" s="530"/>
      <c r="I56" s="327">
        <f>22*12*AR$1</f>
        <v>1320</v>
      </c>
      <c r="J56" s="327">
        <v>4</v>
      </c>
      <c r="K56" s="328"/>
      <c r="L56" s="329">
        <f t="shared" si="81"/>
        <v>2025</v>
      </c>
      <c r="M56" s="329">
        <f t="shared" si="81"/>
        <v>2033</v>
      </c>
      <c r="N56" s="329">
        <f t="shared" si="81"/>
        <v>8</v>
      </c>
      <c r="O56" s="327">
        <v>3</v>
      </c>
      <c r="P56" s="530">
        <f t="shared" si="82"/>
        <v>0</v>
      </c>
      <c r="Q56" s="530">
        <f t="shared" si="83"/>
        <v>0</v>
      </c>
      <c r="R56" s="530">
        <f t="shared" si="84"/>
        <v>0</v>
      </c>
      <c r="S56" s="530">
        <f t="shared" si="85"/>
        <v>0</v>
      </c>
      <c r="T56" s="530">
        <f t="shared" si="86"/>
        <v>0</v>
      </c>
      <c r="U56" s="530">
        <f t="shared" si="87"/>
        <v>0</v>
      </c>
      <c r="V56" s="530">
        <f t="shared" si="10"/>
        <v>0</v>
      </c>
      <c r="W56" s="530">
        <f t="shared" si="88"/>
        <v>0</v>
      </c>
      <c r="X56" s="310">
        <f t="shared" si="12"/>
        <v>0</v>
      </c>
      <c r="Y56" s="310">
        <f t="shared" si="89"/>
        <v>0</v>
      </c>
      <c r="Z56" s="339">
        <f t="shared" si="90"/>
        <v>0</v>
      </c>
      <c r="AA56" s="336">
        <v>0</v>
      </c>
      <c r="AB56" s="328">
        <f t="shared" si="15"/>
        <v>0</v>
      </c>
      <c r="AC56" s="328">
        <v>0</v>
      </c>
      <c r="AD56" s="328">
        <f t="shared" si="91"/>
        <v>0</v>
      </c>
      <c r="AE56" s="327">
        <f>0*AE$106</f>
        <v>0</v>
      </c>
      <c r="AF56" s="327">
        <f t="shared" si="17"/>
        <v>0</v>
      </c>
      <c r="AG56" s="328">
        <v>0</v>
      </c>
      <c r="AH56" s="328">
        <f t="shared" si="18"/>
        <v>0</v>
      </c>
      <c r="AI56" s="328">
        <f t="shared" si="92"/>
        <v>0</v>
      </c>
      <c r="AJ56" s="327">
        <f t="shared" si="93"/>
        <v>0</v>
      </c>
      <c r="AK56" s="337">
        <f t="shared" si="21"/>
        <v>0</v>
      </c>
      <c r="AL56" s="327">
        <f t="shared" si="94"/>
        <v>0</v>
      </c>
      <c r="AM56" s="328">
        <f t="shared" si="95"/>
        <v>0</v>
      </c>
      <c r="AN56" s="329">
        <v>220</v>
      </c>
      <c r="AO56" s="327">
        <f t="shared" si="96"/>
        <v>0</v>
      </c>
      <c r="AP56" s="338">
        <f t="shared" si="97"/>
        <v>0</v>
      </c>
      <c r="AQ56" s="339">
        <f t="shared" si="98"/>
        <v>0</v>
      </c>
    </row>
    <row r="57" spans="1:43">
      <c r="A57" s="819" t="s">
        <v>475</v>
      </c>
      <c r="B57" s="820"/>
      <c r="C57" s="820"/>
      <c r="D57" s="93"/>
      <c r="E57" s="531"/>
      <c r="F57" s="93"/>
      <c r="G57" s="93"/>
      <c r="H57" s="532"/>
      <c r="I57" s="93"/>
      <c r="J57" s="93"/>
      <c r="K57" s="93"/>
      <c r="L57" s="96"/>
      <c r="M57" s="96"/>
      <c r="N57" s="96"/>
      <c r="O57" s="93"/>
      <c r="P57" s="531"/>
      <c r="Q57" s="531"/>
      <c r="R57" s="531"/>
      <c r="S57" s="531"/>
      <c r="T57" s="531"/>
      <c r="U57" s="531"/>
      <c r="V57" s="531"/>
      <c r="W57" s="531"/>
      <c r="X57" s="531"/>
      <c r="Y57" s="531"/>
      <c r="Z57" s="531"/>
      <c r="AA57" s="93"/>
      <c r="AB57" s="93"/>
      <c r="AC57" s="93"/>
      <c r="AD57" s="93"/>
      <c r="AE57" s="93"/>
      <c r="AF57" s="93"/>
      <c r="AG57" s="93"/>
      <c r="AH57" s="93"/>
      <c r="AI57" s="93"/>
      <c r="AJ57" s="431"/>
      <c r="AK57" s="93"/>
      <c r="AL57" s="431"/>
      <c r="AM57" s="93"/>
      <c r="AN57" s="93"/>
      <c r="AO57" s="93"/>
      <c r="AP57" s="93"/>
      <c r="AQ57" s="342"/>
    </row>
    <row r="58" spans="1:43">
      <c r="A58" s="307">
        <v>0</v>
      </c>
      <c r="B58" s="320" t="s">
        <v>476</v>
      </c>
      <c r="C58" s="321"/>
      <c r="D58" s="321" t="s">
        <v>477</v>
      </c>
      <c r="E58" s="528">
        <v>125</v>
      </c>
      <c r="F58" s="524">
        <f t="shared" ref="F58:F66" si="99">$F$6</f>
        <v>1</v>
      </c>
      <c r="G58" s="528">
        <f t="shared" ref="G58:G62" si="100">E58*F58</f>
        <v>125</v>
      </c>
      <c r="H58" s="528"/>
      <c r="I58" s="322">
        <f>22*4*AR$1</f>
        <v>440</v>
      </c>
      <c r="J58" s="322">
        <v>4</v>
      </c>
      <c r="K58" s="323"/>
      <c r="L58" s="324">
        <f t="shared" ref="L58:N62" si="101">L$4</f>
        <v>2025</v>
      </c>
      <c r="M58" s="324">
        <f t="shared" si="101"/>
        <v>2033</v>
      </c>
      <c r="N58" s="324">
        <f t="shared" si="101"/>
        <v>8</v>
      </c>
      <c r="O58" s="322">
        <v>0</v>
      </c>
      <c r="P58" s="528">
        <f t="shared" ref="P58:P62" si="102">E58*A58</f>
        <v>0</v>
      </c>
      <c r="Q58" s="528">
        <f>IF(A58&gt;0,E58/J58,0)</f>
        <v>0</v>
      </c>
      <c r="R58" s="528">
        <f>Q58*A58</f>
        <v>0</v>
      </c>
      <c r="S58" s="528">
        <f t="shared" ref="S58:S62" si="103">IF(A58=0,0,PMT($S$6,J58,-G58))-Q58</f>
        <v>0</v>
      </c>
      <c r="T58" s="528">
        <f t="shared" ref="T58:T62" si="104">S58*A58</f>
        <v>0</v>
      </c>
      <c r="U58" s="528">
        <f t="shared" ref="U58:U62" si="105">(S58+Q58)*A58</f>
        <v>0</v>
      </c>
      <c r="V58" s="528">
        <f t="shared" si="10"/>
        <v>0</v>
      </c>
      <c r="W58" s="528">
        <f>V58*A58</f>
        <v>0</v>
      </c>
      <c r="X58" s="306">
        <f t="shared" si="12"/>
        <v>0</v>
      </c>
      <c r="Y58" s="306">
        <f>IF(A58&gt;0,(Q58+S58+V58),0)</f>
        <v>0</v>
      </c>
      <c r="Z58" s="333">
        <f>(Q58+S58+V58)*A58</f>
        <v>0</v>
      </c>
      <c r="AA58" s="330">
        <v>0</v>
      </c>
      <c r="AB58" s="323">
        <f t="shared" si="15"/>
        <v>0</v>
      </c>
      <c r="AC58" s="323">
        <v>0</v>
      </c>
      <c r="AD58" s="323">
        <f>+ROUND(AA58*AR$1*AC58,2)</f>
        <v>0</v>
      </c>
      <c r="AE58" s="322">
        <f>0*AE$106</f>
        <v>0</v>
      </c>
      <c r="AF58" s="322">
        <f t="shared" si="17"/>
        <v>0</v>
      </c>
      <c r="AG58" s="323">
        <v>0</v>
      </c>
      <c r="AH58" s="323">
        <f t="shared" si="18"/>
        <v>0</v>
      </c>
      <c r="AI58" s="323">
        <f>AH58+AD58</f>
        <v>0</v>
      </c>
      <c r="AJ58" s="322">
        <f>(AI58*AN58)*A58</f>
        <v>0</v>
      </c>
      <c r="AK58" s="331">
        <f t="shared" si="21"/>
        <v>0</v>
      </c>
      <c r="AL58" s="322">
        <f>(AK58*AN58)*A58</f>
        <v>0</v>
      </c>
      <c r="AM58" s="323">
        <f>IF(A58&gt;0,(AH58+AD58+AK58),0)</f>
        <v>0</v>
      </c>
      <c r="AN58" s="324">
        <v>60</v>
      </c>
      <c r="AO58" s="322">
        <f>AN58*AM58</f>
        <v>0</v>
      </c>
      <c r="AP58" s="332">
        <f>AO58*A58</f>
        <v>0</v>
      </c>
      <c r="AQ58" s="333">
        <f>AP58+Z58</f>
        <v>0</v>
      </c>
    </row>
    <row r="59" spans="1:43">
      <c r="A59" s="307">
        <v>0</v>
      </c>
      <c r="B59" s="298" t="s">
        <v>478</v>
      </c>
      <c r="C59" s="299" t="s">
        <v>399</v>
      </c>
      <c r="D59" s="299" t="s">
        <v>477</v>
      </c>
      <c r="E59" s="529">
        <v>750</v>
      </c>
      <c r="F59" s="525">
        <f t="shared" si="99"/>
        <v>1</v>
      </c>
      <c r="G59" s="529">
        <f t="shared" si="100"/>
        <v>750</v>
      </c>
      <c r="H59" s="529"/>
      <c r="I59" s="300">
        <f>22*4*AR$1</f>
        <v>440</v>
      </c>
      <c r="J59" s="300">
        <v>4</v>
      </c>
      <c r="K59" s="301"/>
      <c r="L59" s="302">
        <f t="shared" si="101"/>
        <v>2025</v>
      </c>
      <c r="M59" s="302">
        <f t="shared" si="101"/>
        <v>2033</v>
      </c>
      <c r="N59" s="302">
        <f t="shared" si="101"/>
        <v>8</v>
      </c>
      <c r="O59" s="300">
        <v>6</v>
      </c>
      <c r="P59" s="529">
        <f t="shared" si="102"/>
        <v>0</v>
      </c>
      <c r="Q59" s="529">
        <f>IF(A59&gt;0,E59/J59,0)</f>
        <v>0</v>
      </c>
      <c r="R59" s="529">
        <f>Q59*A59</f>
        <v>0</v>
      </c>
      <c r="S59" s="529">
        <f t="shared" si="103"/>
        <v>0</v>
      </c>
      <c r="T59" s="529">
        <f t="shared" si="104"/>
        <v>0</v>
      </c>
      <c r="U59" s="529">
        <f t="shared" si="105"/>
        <v>0</v>
      </c>
      <c r="V59" s="529">
        <f t="shared" si="10"/>
        <v>0</v>
      </c>
      <c r="W59" s="529">
        <f>V59*A59</f>
        <v>0</v>
      </c>
      <c r="X59" s="291">
        <f t="shared" si="12"/>
        <v>0</v>
      </c>
      <c r="Y59" s="291">
        <f>IF(A59&gt;0,(Q59+S59+V59),0)</f>
        <v>0</v>
      </c>
      <c r="Z59" s="335">
        <f>(Q59+S59+V59)*A59</f>
        <v>0</v>
      </c>
      <c r="AA59" s="334">
        <f>VLOOKUP(O59,'B.0.ConsumiblesMaquinaria'!C$7:D$16,2)</f>
        <v>3.5000000000000003E-2</v>
      </c>
      <c r="AB59" s="301">
        <f t="shared" si="15"/>
        <v>0</v>
      </c>
      <c r="AC59" s="301">
        <f>+'B.0.ConsumiblesMaquinaria'!J$24</f>
        <v>9.879999999999999</v>
      </c>
      <c r="AD59" s="301">
        <f>+ROUND(AA59*AR$1*AC59,2)</f>
        <v>1.73</v>
      </c>
      <c r="AE59" s="300">
        <f>0.5*AE$106</f>
        <v>0.4</v>
      </c>
      <c r="AF59" s="300">
        <f t="shared" si="17"/>
        <v>0</v>
      </c>
      <c r="AG59" s="301">
        <f>+'B.0.ConsumiblesMaquinaria'!J$22</f>
        <v>1.7</v>
      </c>
      <c r="AH59" s="301">
        <f t="shared" si="18"/>
        <v>0</v>
      </c>
      <c r="AI59" s="301">
        <f>AH59+AD59</f>
        <v>1.73</v>
      </c>
      <c r="AJ59" s="300">
        <f>(AI59*AN59)*A59</f>
        <v>0</v>
      </c>
      <c r="AK59" s="304">
        <f t="shared" si="21"/>
        <v>0</v>
      </c>
      <c r="AL59" s="300">
        <f>(AK59*AN59)*A59</f>
        <v>0</v>
      </c>
      <c r="AM59" s="301">
        <f>IF(A59&gt;0,(AH59+AD59+AK59),0)</f>
        <v>0</v>
      </c>
      <c r="AN59" s="302">
        <v>60</v>
      </c>
      <c r="AO59" s="300">
        <f>AN59*AM59</f>
        <v>0</v>
      </c>
      <c r="AP59" s="303">
        <f>AO59*A59</f>
        <v>0</v>
      </c>
      <c r="AQ59" s="335">
        <f>AP59+Z59</f>
        <v>0</v>
      </c>
    </row>
    <row r="60" spans="1:43">
      <c r="A60" s="307">
        <v>1</v>
      </c>
      <c r="B60" s="298" t="s">
        <v>479</v>
      </c>
      <c r="C60" s="299" t="s">
        <v>399</v>
      </c>
      <c r="D60" s="299" t="s">
        <v>477</v>
      </c>
      <c r="E60" s="529">
        <v>2250</v>
      </c>
      <c r="F60" s="525">
        <f t="shared" si="99"/>
        <v>1</v>
      </c>
      <c r="G60" s="529">
        <f t="shared" si="100"/>
        <v>2250</v>
      </c>
      <c r="H60" s="529"/>
      <c r="I60" s="300">
        <f>22*4*AR$1</f>
        <v>440</v>
      </c>
      <c r="J60" s="300">
        <v>4</v>
      </c>
      <c r="K60" s="301"/>
      <c r="L60" s="302">
        <f t="shared" si="101"/>
        <v>2025</v>
      </c>
      <c r="M60" s="302">
        <f t="shared" si="101"/>
        <v>2033</v>
      </c>
      <c r="N60" s="302">
        <f t="shared" si="101"/>
        <v>8</v>
      </c>
      <c r="O60" s="300">
        <v>15</v>
      </c>
      <c r="P60" s="529">
        <f t="shared" si="102"/>
        <v>2250</v>
      </c>
      <c r="Q60" s="529">
        <f>IF(A60&gt;0,E60/J60,0)</f>
        <v>562.5</v>
      </c>
      <c r="R60" s="529">
        <f>Q60*A60</f>
        <v>562.5</v>
      </c>
      <c r="S60" s="529">
        <f t="shared" si="103"/>
        <v>77.932806316307278</v>
      </c>
      <c r="T60" s="529">
        <f t="shared" si="104"/>
        <v>77.932806316307278</v>
      </c>
      <c r="U60" s="529">
        <f t="shared" si="105"/>
        <v>640.43280631630728</v>
      </c>
      <c r="V60" s="529">
        <f t="shared" si="10"/>
        <v>70.3125</v>
      </c>
      <c r="W60" s="529">
        <f>V60*A60</f>
        <v>70.3125</v>
      </c>
      <c r="X60" s="291">
        <f t="shared" si="12"/>
        <v>0</v>
      </c>
      <c r="Y60" s="291">
        <f>IF(A60&gt;0,(Q60+S60+V60),0)</f>
        <v>710.74530631630728</v>
      </c>
      <c r="Z60" s="335">
        <f>(Q60+S60+V60)*A60</f>
        <v>710.74530631630728</v>
      </c>
      <c r="AA60" s="334">
        <f>VLOOKUP(O60,'B.0.ConsumiblesMaquinaria'!C$7:D$16,2)</f>
        <v>3.5000000000000003E-2</v>
      </c>
      <c r="AB60" s="301">
        <f t="shared" si="15"/>
        <v>15.400000000000002</v>
      </c>
      <c r="AC60" s="301">
        <f>+'B.0.ConsumiblesMaquinaria'!J$24</f>
        <v>9.879999999999999</v>
      </c>
      <c r="AD60" s="301">
        <f>+ROUND(AA60*AR$1*AC60,2)</f>
        <v>1.73</v>
      </c>
      <c r="AE60" s="300">
        <f>0.5*AE$106</f>
        <v>0.4</v>
      </c>
      <c r="AF60" s="300">
        <f t="shared" si="17"/>
        <v>176</v>
      </c>
      <c r="AG60" s="301">
        <f>+'B.0.ConsumiblesMaquinaria'!J$22</f>
        <v>1.7</v>
      </c>
      <c r="AH60" s="301">
        <f t="shared" si="18"/>
        <v>3.4</v>
      </c>
      <c r="AI60" s="301">
        <f>AH60+AD60</f>
        <v>5.13</v>
      </c>
      <c r="AJ60" s="300">
        <f>(AI60*AN60)*A60</f>
        <v>307.8</v>
      </c>
      <c r="AK60" s="304">
        <f t="shared" si="21"/>
        <v>0.22500000000000001</v>
      </c>
      <c r="AL60" s="300">
        <f>(AK60*AN60)*A60</f>
        <v>13.5</v>
      </c>
      <c r="AM60" s="301">
        <f>IF(A60&gt;0,(AH60+AD60+AK60),0)</f>
        <v>5.3549999999999995</v>
      </c>
      <c r="AN60" s="302">
        <v>60</v>
      </c>
      <c r="AO60" s="300">
        <f>AN60*AM60</f>
        <v>321.29999999999995</v>
      </c>
      <c r="AP60" s="303">
        <f>AO60*A60</f>
        <v>321.29999999999995</v>
      </c>
      <c r="AQ60" s="335">
        <f>AP60+Z60</f>
        <v>1032.0453063163072</v>
      </c>
    </row>
    <row r="61" spans="1:43">
      <c r="A61" s="307">
        <v>0</v>
      </c>
      <c r="B61" s="298" t="s">
        <v>480</v>
      </c>
      <c r="C61" s="299" t="s">
        <v>399</v>
      </c>
      <c r="D61" s="299" t="s">
        <v>477</v>
      </c>
      <c r="E61" s="529">
        <v>9750</v>
      </c>
      <c r="F61" s="525">
        <f t="shared" si="99"/>
        <v>1</v>
      </c>
      <c r="G61" s="529">
        <f t="shared" si="100"/>
        <v>9750</v>
      </c>
      <c r="H61" s="529"/>
      <c r="I61" s="300">
        <f>22*4*AR$1</f>
        <v>440</v>
      </c>
      <c r="J61" s="300">
        <v>4</v>
      </c>
      <c r="K61" s="301"/>
      <c r="L61" s="302">
        <f t="shared" si="101"/>
        <v>2025</v>
      </c>
      <c r="M61" s="302">
        <f t="shared" si="101"/>
        <v>2033</v>
      </c>
      <c r="N61" s="302">
        <f t="shared" si="101"/>
        <v>8</v>
      </c>
      <c r="O61" s="300">
        <v>37</v>
      </c>
      <c r="P61" s="529">
        <f t="shared" si="102"/>
        <v>0</v>
      </c>
      <c r="Q61" s="529">
        <f>IF(A61&gt;0,E61/J61,0)</f>
        <v>0</v>
      </c>
      <c r="R61" s="529">
        <f>Q61*A61</f>
        <v>0</v>
      </c>
      <c r="S61" s="529">
        <f t="shared" si="103"/>
        <v>0</v>
      </c>
      <c r="T61" s="529">
        <f t="shared" si="104"/>
        <v>0</v>
      </c>
      <c r="U61" s="529">
        <f t="shared" si="105"/>
        <v>0</v>
      </c>
      <c r="V61" s="529">
        <f t="shared" si="10"/>
        <v>0</v>
      </c>
      <c r="W61" s="529">
        <f>V61*A61</f>
        <v>0</v>
      </c>
      <c r="X61" s="291">
        <f t="shared" si="12"/>
        <v>0</v>
      </c>
      <c r="Y61" s="291">
        <f>IF(A61&gt;0,(Q61+S61+V61),0)</f>
        <v>0</v>
      </c>
      <c r="Z61" s="335">
        <f>(Q61+S61+V61)*A61</f>
        <v>0</v>
      </c>
      <c r="AA61" s="334">
        <f>VLOOKUP(O61,'B.0.ConsumiblesMaquinaria'!C$7:D$16,2)</f>
        <v>3.9E-2</v>
      </c>
      <c r="AB61" s="301">
        <f t="shared" si="15"/>
        <v>0</v>
      </c>
      <c r="AC61" s="301">
        <f>+'B.0.ConsumiblesMaquinaria'!J$24</f>
        <v>9.879999999999999</v>
      </c>
      <c r="AD61" s="301">
        <f>+ROUND(AA61*AR$1*AC61,2)</f>
        <v>1.93</v>
      </c>
      <c r="AE61" s="300">
        <f>1*AE$106</f>
        <v>0.8</v>
      </c>
      <c r="AF61" s="300">
        <f t="shared" si="17"/>
        <v>0</v>
      </c>
      <c r="AG61" s="301">
        <f>+'B.0.ConsumiblesMaquinaria'!J$22</f>
        <v>1.7</v>
      </c>
      <c r="AH61" s="301">
        <f t="shared" si="18"/>
        <v>0</v>
      </c>
      <c r="AI61" s="301">
        <f>AH61+AD61</f>
        <v>1.93</v>
      </c>
      <c r="AJ61" s="300">
        <f>(AI61*AN61)*A61</f>
        <v>0</v>
      </c>
      <c r="AK61" s="304">
        <f t="shared" si="21"/>
        <v>0</v>
      </c>
      <c r="AL61" s="300">
        <f>(AK61*AN61)*A61</f>
        <v>0</v>
      </c>
      <c r="AM61" s="301">
        <f>IF(A61&gt;0,(AH61+AD61+AK61),0)</f>
        <v>0</v>
      </c>
      <c r="AN61" s="302">
        <v>60</v>
      </c>
      <c r="AO61" s="300">
        <f>AN61*AM61</f>
        <v>0</v>
      </c>
      <c r="AP61" s="303">
        <f>AO61*A61</f>
        <v>0</v>
      </c>
      <c r="AQ61" s="335">
        <f>AP61+Z61</f>
        <v>0</v>
      </c>
    </row>
    <row r="62" spans="1:43">
      <c r="A62" s="307">
        <v>0</v>
      </c>
      <c r="B62" s="325" t="s">
        <v>481</v>
      </c>
      <c r="C62" s="326" t="s">
        <v>399</v>
      </c>
      <c r="D62" s="326" t="s">
        <v>477</v>
      </c>
      <c r="E62" s="530">
        <v>25250</v>
      </c>
      <c r="F62" s="526">
        <f t="shared" si="99"/>
        <v>1</v>
      </c>
      <c r="G62" s="530">
        <f t="shared" si="100"/>
        <v>25250</v>
      </c>
      <c r="H62" s="530"/>
      <c r="I62" s="327">
        <f>22*4*AR$1</f>
        <v>440</v>
      </c>
      <c r="J62" s="327">
        <v>4</v>
      </c>
      <c r="K62" s="328"/>
      <c r="L62" s="329">
        <f t="shared" si="101"/>
        <v>2025</v>
      </c>
      <c r="M62" s="329">
        <f t="shared" si="101"/>
        <v>2033</v>
      </c>
      <c r="N62" s="329">
        <f t="shared" si="101"/>
        <v>8</v>
      </c>
      <c r="O62" s="327">
        <v>37</v>
      </c>
      <c r="P62" s="530">
        <f t="shared" si="102"/>
        <v>0</v>
      </c>
      <c r="Q62" s="530">
        <f>IF(A62&gt;0,E62/J62,0)</f>
        <v>0</v>
      </c>
      <c r="R62" s="530">
        <f>Q62*A62</f>
        <v>0</v>
      </c>
      <c r="S62" s="530">
        <f t="shared" si="103"/>
        <v>0</v>
      </c>
      <c r="T62" s="530">
        <f t="shared" si="104"/>
        <v>0</v>
      </c>
      <c r="U62" s="530">
        <f t="shared" si="105"/>
        <v>0</v>
      </c>
      <c r="V62" s="530">
        <f t="shared" si="10"/>
        <v>0</v>
      </c>
      <c r="W62" s="530">
        <f>V62*A62</f>
        <v>0</v>
      </c>
      <c r="X62" s="310">
        <f t="shared" si="12"/>
        <v>0</v>
      </c>
      <c r="Y62" s="310">
        <f>IF(A62&gt;0,(Q62+S62+V62),0)</f>
        <v>0</v>
      </c>
      <c r="Z62" s="339">
        <f>(Q62+S62+V62)*A62</f>
        <v>0</v>
      </c>
      <c r="AA62" s="336">
        <f>VLOOKUP(O62,'B.0.ConsumiblesMaquinaria'!C$7:D$16,2)</f>
        <v>3.9E-2</v>
      </c>
      <c r="AB62" s="328">
        <f t="shared" si="15"/>
        <v>0</v>
      </c>
      <c r="AC62" s="328">
        <f>+'B.0.ConsumiblesMaquinaria'!J$24</f>
        <v>9.879999999999999</v>
      </c>
      <c r="AD62" s="328">
        <f>+ROUND(AA62*AR$1*AC62,2)</f>
        <v>1.93</v>
      </c>
      <c r="AE62" s="327">
        <f>1.5*AE$106</f>
        <v>1.2000000000000002</v>
      </c>
      <c r="AF62" s="327">
        <f t="shared" si="17"/>
        <v>0</v>
      </c>
      <c r="AG62" s="328">
        <f>+'B.0.ConsumiblesMaquinaria'!J$22</f>
        <v>1.7</v>
      </c>
      <c r="AH62" s="328">
        <f t="shared" si="18"/>
        <v>0</v>
      </c>
      <c r="AI62" s="328">
        <f>AH62+AD62</f>
        <v>1.93</v>
      </c>
      <c r="AJ62" s="327">
        <f>(AI62*AN62)*A62</f>
        <v>0</v>
      </c>
      <c r="AK62" s="337">
        <f t="shared" si="21"/>
        <v>0</v>
      </c>
      <c r="AL62" s="327">
        <f>(AK62*AN62)*A62</f>
        <v>0</v>
      </c>
      <c r="AM62" s="328">
        <f>IF(A62&gt;0,(AH62+AD62+AK62),0)</f>
        <v>0</v>
      </c>
      <c r="AN62" s="329">
        <v>60</v>
      </c>
      <c r="AO62" s="327">
        <f>AN62*AM62</f>
        <v>0</v>
      </c>
      <c r="AP62" s="338">
        <f>AO62*A62</f>
        <v>0</v>
      </c>
      <c r="AQ62" s="339">
        <f>AP62+Z62</f>
        <v>0</v>
      </c>
    </row>
    <row r="63" spans="1:43">
      <c r="A63" s="819" t="s">
        <v>482</v>
      </c>
      <c r="B63" s="820"/>
      <c r="C63" s="820"/>
      <c r="D63" s="93"/>
      <c r="E63" s="531"/>
      <c r="F63" s="527">
        <f t="shared" si="99"/>
        <v>1</v>
      </c>
      <c r="G63" s="93"/>
      <c r="H63" s="532"/>
      <c r="I63" s="93"/>
      <c r="J63" s="93"/>
      <c r="K63" s="93"/>
      <c r="L63" s="96"/>
      <c r="M63" s="96"/>
      <c r="N63" s="96"/>
      <c r="O63" s="93"/>
      <c r="P63" s="531"/>
      <c r="Q63" s="531"/>
      <c r="R63" s="531"/>
      <c r="S63" s="531"/>
      <c r="T63" s="531"/>
      <c r="U63" s="531"/>
      <c r="V63" s="531"/>
      <c r="W63" s="531"/>
      <c r="X63" s="531"/>
      <c r="Y63" s="531"/>
      <c r="Z63" s="531"/>
      <c r="AA63" s="93"/>
      <c r="AB63" s="93"/>
      <c r="AC63" s="93"/>
      <c r="AD63" s="93"/>
      <c r="AE63" s="93"/>
      <c r="AF63" s="93"/>
      <c r="AG63" s="93"/>
      <c r="AH63" s="93"/>
      <c r="AI63" s="93"/>
      <c r="AJ63" s="431"/>
      <c r="AK63" s="93"/>
      <c r="AL63" s="431"/>
      <c r="AM63" s="93"/>
      <c r="AN63" s="93"/>
      <c r="AO63" s="93"/>
      <c r="AP63" s="343"/>
      <c r="AQ63" s="344"/>
    </row>
    <row r="64" spans="1:43">
      <c r="A64" s="307">
        <v>0</v>
      </c>
      <c r="B64" s="320" t="s">
        <v>483</v>
      </c>
      <c r="C64" s="321"/>
      <c r="D64" s="321" t="s">
        <v>482</v>
      </c>
      <c r="E64" s="528">
        <v>2437.5</v>
      </c>
      <c r="F64" s="524">
        <f t="shared" si="99"/>
        <v>1</v>
      </c>
      <c r="G64" s="528">
        <f t="shared" ref="G64:G66" si="106">E64*F64</f>
        <v>2437.5</v>
      </c>
      <c r="H64" s="528"/>
      <c r="I64" s="322">
        <f>22*4*AR$1</f>
        <v>440</v>
      </c>
      <c r="J64" s="322">
        <v>4</v>
      </c>
      <c r="K64" s="323"/>
      <c r="L64" s="324">
        <f t="shared" ref="L64:N66" si="107">L$4</f>
        <v>2025</v>
      </c>
      <c r="M64" s="324">
        <f t="shared" si="107"/>
        <v>2033</v>
      </c>
      <c r="N64" s="324">
        <f t="shared" si="107"/>
        <v>8</v>
      </c>
      <c r="O64" s="322">
        <v>0</v>
      </c>
      <c r="P64" s="528">
        <f t="shared" ref="P64:P66" si="108">E64*A64</f>
        <v>0</v>
      </c>
      <c r="Q64" s="528">
        <f>IF(A64&gt;0,E64/J64,0)</f>
        <v>0</v>
      </c>
      <c r="R64" s="528">
        <f>Q64*A64</f>
        <v>0</v>
      </c>
      <c r="S64" s="528">
        <f t="shared" ref="S64:S66" si="109">IF(A64=0,0,PMT($S$6,J64,-G64))-Q64</f>
        <v>0</v>
      </c>
      <c r="T64" s="528">
        <f t="shared" ref="T64:T66" si="110">S64*A64</f>
        <v>0</v>
      </c>
      <c r="U64" s="528">
        <f t="shared" ref="U64:U66" si="111">(S64+Q64)*A64</f>
        <v>0</v>
      </c>
      <c r="V64" s="528">
        <f t="shared" si="10"/>
        <v>0</v>
      </c>
      <c r="W64" s="528">
        <f>V64*A64</f>
        <v>0</v>
      </c>
      <c r="X64" s="306">
        <f t="shared" si="12"/>
        <v>0</v>
      </c>
      <c r="Y64" s="306">
        <f>IF(A64&gt;0,(Q64+S64+V64),0)</f>
        <v>0</v>
      </c>
      <c r="Z64" s="333">
        <f>(Q64+S64+V64)*A64</f>
        <v>0</v>
      </c>
      <c r="AA64" s="330">
        <v>0</v>
      </c>
      <c r="AB64" s="323">
        <f t="shared" si="15"/>
        <v>0</v>
      </c>
      <c r="AC64" s="323">
        <v>0</v>
      </c>
      <c r="AD64" s="323">
        <f>+ROUND(AA64*AR$1*AC64,2)</f>
        <v>0</v>
      </c>
      <c r="AE64" s="322">
        <f>0*AE$106</f>
        <v>0</v>
      </c>
      <c r="AF64" s="322">
        <f t="shared" si="17"/>
        <v>0</v>
      </c>
      <c r="AG64" s="323">
        <f>+'B.0.ConsumiblesMaquinaria'!J$22</f>
        <v>1.7</v>
      </c>
      <c r="AH64" s="323">
        <f t="shared" si="18"/>
        <v>0</v>
      </c>
      <c r="AI64" s="323">
        <f>AH64+AD64</f>
        <v>0</v>
      </c>
      <c r="AJ64" s="322">
        <f>(AI64*AN64)*A64</f>
        <v>0</v>
      </c>
      <c r="AK64" s="331">
        <f t="shared" si="21"/>
        <v>0</v>
      </c>
      <c r="AL64" s="322">
        <f>(AK64*AN64)*A64</f>
        <v>0</v>
      </c>
      <c r="AM64" s="323">
        <f>IF(A64&gt;0,(AH64+AD64+AK64),0)</f>
        <v>0</v>
      </c>
      <c r="AN64" s="324">
        <v>80</v>
      </c>
      <c r="AO64" s="322">
        <f>AN64*AM64</f>
        <v>0</v>
      </c>
      <c r="AP64" s="332">
        <f>AO64*A64</f>
        <v>0</v>
      </c>
      <c r="AQ64" s="333">
        <f>AP64+Z64</f>
        <v>0</v>
      </c>
    </row>
    <row r="65" spans="1:43">
      <c r="A65" s="307">
        <v>0</v>
      </c>
      <c r="B65" s="298" t="s">
        <v>484</v>
      </c>
      <c r="C65" s="299" t="s">
        <v>399</v>
      </c>
      <c r="D65" s="299" t="s">
        <v>482</v>
      </c>
      <c r="E65" s="529">
        <v>1133.75</v>
      </c>
      <c r="F65" s="525">
        <f t="shared" si="99"/>
        <v>1</v>
      </c>
      <c r="G65" s="529">
        <f t="shared" si="106"/>
        <v>1133.75</v>
      </c>
      <c r="H65" s="529"/>
      <c r="I65" s="300">
        <f>22*4*AR$1</f>
        <v>440</v>
      </c>
      <c r="J65" s="300">
        <v>4</v>
      </c>
      <c r="K65" s="301"/>
      <c r="L65" s="302">
        <f t="shared" si="107"/>
        <v>2025</v>
      </c>
      <c r="M65" s="302">
        <f t="shared" si="107"/>
        <v>2033</v>
      </c>
      <c r="N65" s="302">
        <f t="shared" si="107"/>
        <v>8</v>
      </c>
      <c r="O65" s="300">
        <v>5.5</v>
      </c>
      <c r="P65" s="529">
        <f t="shared" si="108"/>
        <v>0</v>
      </c>
      <c r="Q65" s="529">
        <f>IF(A65&gt;0,E65/J65,0)</f>
        <v>0</v>
      </c>
      <c r="R65" s="529">
        <f>Q65*A65</f>
        <v>0</v>
      </c>
      <c r="S65" s="529">
        <f t="shared" si="109"/>
        <v>0</v>
      </c>
      <c r="T65" s="529">
        <f t="shared" si="110"/>
        <v>0</v>
      </c>
      <c r="U65" s="529">
        <f t="shared" si="111"/>
        <v>0</v>
      </c>
      <c r="V65" s="529">
        <f t="shared" si="10"/>
        <v>0</v>
      </c>
      <c r="W65" s="529">
        <f>V65*A65</f>
        <v>0</v>
      </c>
      <c r="X65" s="291">
        <f t="shared" si="12"/>
        <v>0</v>
      </c>
      <c r="Y65" s="291">
        <f>IF(A65&gt;0,(Q65+S65+V65),0)</f>
        <v>0</v>
      </c>
      <c r="Z65" s="335">
        <f>(Q65+S65+V65)*A65</f>
        <v>0</v>
      </c>
      <c r="AA65" s="334">
        <f>VLOOKUP(O65,'B.0.ConsumiblesMaquinaria'!C$7:D$16,2)</f>
        <v>3.5000000000000003E-2</v>
      </c>
      <c r="AB65" s="301">
        <f t="shared" si="15"/>
        <v>0</v>
      </c>
      <c r="AC65" s="301">
        <f>+'B.0.ConsumiblesMaquinaria'!J$24</f>
        <v>9.879999999999999</v>
      </c>
      <c r="AD65" s="301">
        <f>+ROUND(AA65*AR$1*AC65,2)</f>
        <v>1.73</v>
      </c>
      <c r="AE65" s="300">
        <f>2.04*AE$106</f>
        <v>1.6320000000000001</v>
      </c>
      <c r="AF65" s="300">
        <f t="shared" si="17"/>
        <v>0</v>
      </c>
      <c r="AG65" s="301">
        <f>+'B.0.ConsumiblesMaquinaria'!J$22</f>
        <v>1.7</v>
      </c>
      <c r="AH65" s="301">
        <f t="shared" si="18"/>
        <v>0</v>
      </c>
      <c r="AI65" s="301">
        <f>AH65+AD65</f>
        <v>1.73</v>
      </c>
      <c r="AJ65" s="300">
        <f>(AI65*AN65)*A65</f>
        <v>0</v>
      </c>
      <c r="AK65" s="304">
        <f t="shared" si="21"/>
        <v>0</v>
      </c>
      <c r="AL65" s="300">
        <f>(AK65*AN65)*A65</f>
        <v>0</v>
      </c>
      <c r="AM65" s="301">
        <f>IF(A65&gt;0,(AH65+AD65+AK65),0)</f>
        <v>0</v>
      </c>
      <c r="AN65" s="302">
        <v>80</v>
      </c>
      <c r="AO65" s="300">
        <f>AN65*AM65</f>
        <v>0</v>
      </c>
      <c r="AP65" s="303">
        <f>AO65*A65</f>
        <v>0</v>
      </c>
      <c r="AQ65" s="335">
        <f>AP65+Z65</f>
        <v>0</v>
      </c>
    </row>
    <row r="66" spans="1:43">
      <c r="A66" s="307">
        <v>1</v>
      </c>
      <c r="B66" s="325" t="s">
        <v>485</v>
      </c>
      <c r="C66" s="326"/>
      <c r="D66" s="326" t="s">
        <v>482</v>
      </c>
      <c r="E66" s="530">
        <v>4375</v>
      </c>
      <c r="F66" s="526">
        <f t="shared" si="99"/>
        <v>1</v>
      </c>
      <c r="G66" s="530">
        <f t="shared" si="106"/>
        <v>4375</v>
      </c>
      <c r="H66" s="530"/>
      <c r="I66" s="327">
        <f>22*4*AR$1</f>
        <v>440</v>
      </c>
      <c r="J66" s="327">
        <v>4</v>
      </c>
      <c r="K66" s="328"/>
      <c r="L66" s="329">
        <f t="shared" si="107"/>
        <v>2025</v>
      </c>
      <c r="M66" s="329">
        <f t="shared" si="107"/>
        <v>2033</v>
      </c>
      <c r="N66" s="329">
        <f t="shared" si="107"/>
        <v>8</v>
      </c>
      <c r="O66" s="327">
        <v>0</v>
      </c>
      <c r="P66" s="530">
        <f t="shared" si="108"/>
        <v>4375</v>
      </c>
      <c r="Q66" s="530">
        <f>IF(A66&gt;0,E66/J66,0)</f>
        <v>1093.75</v>
      </c>
      <c r="R66" s="530">
        <f>Q66*A66</f>
        <v>1093.75</v>
      </c>
      <c r="S66" s="530">
        <f t="shared" si="109"/>
        <v>151.53601228170851</v>
      </c>
      <c r="T66" s="530">
        <f t="shared" si="110"/>
        <v>151.53601228170851</v>
      </c>
      <c r="U66" s="530">
        <f t="shared" si="111"/>
        <v>1245.2860122817085</v>
      </c>
      <c r="V66" s="530">
        <f t="shared" si="10"/>
        <v>136.71875</v>
      </c>
      <c r="W66" s="530">
        <f>V66*A66</f>
        <v>136.71875</v>
      </c>
      <c r="X66" s="310">
        <f t="shared" si="12"/>
        <v>0</v>
      </c>
      <c r="Y66" s="310">
        <f>IF(A66&gt;0,(Q66+S66+V66),0)</f>
        <v>1382.0047622817085</v>
      </c>
      <c r="Z66" s="339">
        <f>(Q66+S66+V66)*A66</f>
        <v>1382.0047622817085</v>
      </c>
      <c r="AA66" s="336">
        <v>0</v>
      </c>
      <c r="AB66" s="328">
        <f t="shared" si="15"/>
        <v>0</v>
      </c>
      <c r="AC66" s="328">
        <v>0</v>
      </c>
      <c r="AD66" s="328">
        <f>+ROUND(AA66*AR$1*AC66,2)</f>
        <v>0</v>
      </c>
      <c r="AE66" s="327">
        <f>0*AE$106</f>
        <v>0</v>
      </c>
      <c r="AF66" s="327">
        <f t="shared" si="17"/>
        <v>0</v>
      </c>
      <c r="AG66" s="328">
        <v>0</v>
      </c>
      <c r="AH66" s="328">
        <f t="shared" si="18"/>
        <v>0</v>
      </c>
      <c r="AI66" s="328">
        <f>AH66+AD66</f>
        <v>0</v>
      </c>
      <c r="AJ66" s="327">
        <f>(AI66*AN66)*A66</f>
        <v>0</v>
      </c>
      <c r="AK66" s="337">
        <f t="shared" si="21"/>
        <v>0.4375</v>
      </c>
      <c r="AL66" s="327">
        <f>(AK66*AN66)*A66</f>
        <v>35</v>
      </c>
      <c r="AM66" s="328">
        <f>IF(A66&gt;0,(AH66+AD66+AK66),0)</f>
        <v>0.4375</v>
      </c>
      <c r="AN66" s="329">
        <v>80</v>
      </c>
      <c r="AO66" s="327">
        <f>AN66*AM66</f>
        <v>35</v>
      </c>
      <c r="AP66" s="338">
        <f>AO66*A66</f>
        <v>35</v>
      </c>
      <c r="AQ66" s="339">
        <f>AP66+Z66</f>
        <v>1417.0047622817085</v>
      </c>
    </row>
    <row r="67" spans="1:43">
      <c r="A67" s="819" t="s">
        <v>486</v>
      </c>
      <c r="B67" s="820"/>
      <c r="C67" s="820"/>
      <c r="D67" s="93"/>
      <c r="E67" s="531"/>
      <c r="F67" s="93"/>
      <c r="G67" s="93"/>
      <c r="H67" s="532"/>
      <c r="I67" s="93"/>
      <c r="J67" s="93"/>
      <c r="K67" s="93"/>
      <c r="L67" s="96"/>
      <c r="M67" s="96"/>
      <c r="N67" s="96"/>
      <c r="O67" s="93"/>
      <c r="P67" s="531"/>
      <c r="Q67" s="531"/>
      <c r="R67" s="531"/>
      <c r="S67" s="531"/>
      <c r="T67" s="531"/>
      <c r="U67" s="531"/>
      <c r="V67" s="531"/>
      <c r="W67" s="531"/>
      <c r="X67" s="531"/>
      <c r="Y67" s="531"/>
      <c r="Z67" s="531"/>
      <c r="AA67" s="93"/>
      <c r="AB67" s="93"/>
      <c r="AC67" s="93"/>
      <c r="AD67" s="93"/>
      <c r="AE67" s="93"/>
      <c r="AF67" s="93"/>
      <c r="AG67" s="93"/>
      <c r="AH67" s="93"/>
      <c r="AI67" s="93"/>
      <c r="AJ67" s="431"/>
      <c r="AK67" s="93"/>
      <c r="AL67" s="431"/>
      <c r="AM67" s="93"/>
      <c r="AN67" s="93"/>
      <c r="AO67" s="93"/>
      <c r="AP67" s="343"/>
      <c r="AQ67" s="344"/>
    </row>
    <row r="68" spans="1:43">
      <c r="A68" s="307">
        <v>1</v>
      </c>
      <c r="B68" s="320" t="s">
        <v>487</v>
      </c>
      <c r="C68" s="321" t="s">
        <v>399</v>
      </c>
      <c r="D68" s="321" t="s">
        <v>488</v>
      </c>
      <c r="E68" s="528">
        <v>25562.5</v>
      </c>
      <c r="F68" s="524">
        <f t="shared" ref="F68:F80" si="112">$F$6</f>
        <v>1</v>
      </c>
      <c r="G68" s="528">
        <f t="shared" ref="G68:G80" si="113">E68*F68</f>
        <v>25562.5</v>
      </c>
      <c r="H68" s="528"/>
      <c r="I68" s="322">
        <f>22*4*AR$1</f>
        <v>440</v>
      </c>
      <c r="J68" s="322">
        <v>4</v>
      </c>
      <c r="K68" s="323"/>
      <c r="L68" s="324">
        <f t="shared" ref="L68:N80" si="114">L$4</f>
        <v>2025</v>
      </c>
      <c r="M68" s="324">
        <f t="shared" si="114"/>
        <v>2033</v>
      </c>
      <c r="N68" s="324">
        <f t="shared" si="114"/>
        <v>8</v>
      </c>
      <c r="O68" s="322">
        <v>54</v>
      </c>
      <c r="P68" s="528">
        <f t="shared" ref="P68:P80" si="115">E68*A68</f>
        <v>25562.5</v>
      </c>
      <c r="Q68" s="528">
        <f t="shared" ref="Q68:Q80" si="116">IF(A68&gt;0,E68/J68,0)</f>
        <v>6390.625</v>
      </c>
      <c r="R68" s="528">
        <f t="shared" ref="R68:R80" si="117">Q68*A68</f>
        <v>6390.625</v>
      </c>
      <c r="S68" s="528">
        <f t="shared" ref="S68:S80" si="118">IF(A68=0,0,PMT($S$6,J68,-G68))-Q68</f>
        <v>885.40327176026767</v>
      </c>
      <c r="T68" s="528">
        <f t="shared" ref="T68:T80" si="119">S68*A68</f>
        <v>885.40327176026767</v>
      </c>
      <c r="U68" s="528">
        <f t="shared" ref="U68:U80" si="120">(S68+Q68)*A68</f>
        <v>7276.0282717602677</v>
      </c>
      <c r="V68" s="528">
        <f t="shared" si="10"/>
        <v>798.828125</v>
      </c>
      <c r="W68" s="528">
        <f t="shared" ref="W68:W80" si="121">V68*A68</f>
        <v>798.828125</v>
      </c>
      <c r="X68" s="306">
        <f t="shared" si="12"/>
        <v>0</v>
      </c>
      <c r="Y68" s="306">
        <f t="shared" ref="Y68:Y80" si="122">IF(A68&gt;0,(Q68+S68+V68),0)</f>
        <v>8074.8563967602677</v>
      </c>
      <c r="Z68" s="333">
        <f t="shared" ref="Z68:Z80" si="123">(Q68+S68+V68)*A68</f>
        <v>8074.8563967602677</v>
      </c>
      <c r="AA68" s="330">
        <f>VLOOKUP(O68,'B.0.ConsumiblesMaquinaria'!C$7:D$16,2)</f>
        <v>4.7E-2</v>
      </c>
      <c r="AB68" s="323">
        <f t="shared" si="15"/>
        <v>20.68</v>
      </c>
      <c r="AC68" s="323">
        <f>+'B.0.ConsumiblesMaquinaria'!J$24</f>
        <v>9.879999999999999</v>
      </c>
      <c r="AD68" s="323">
        <f t="shared" ref="AD68:AD80" si="124">+ROUND(AA68*AR$1*AC68,2)</f>
        <v>2.3199999999999998</v>
      </c>
      <c r="AE68" s="322">
        <f>4*AE$106</f>
        <v>3.2</v>
      </c>
      <c r="AF68" s="322">
        <f t="shared" si="17"/>
        <v>1408</v>
      </c>
      <c r="AG68" s="323">
        <f>+'B.0.ConsumiblesMaquinaria'!J$22</f>
        <v>1.7</v>
      </c>
      <c r="AH68" s="323">
        <f t="shared" si="18"/>
        <v>27.2</v>
      </c>
      <c r="AI68" s="323">
        <f t="shared" ref="AI68:AI80" si="125">AH68+AD68</f>
        <v>29.52</v>
      </c>
      <c r="AJ68" s="322">
        <f t="shared" ref="AJ68:AJ80" si="126">(AI68*AN68)*A68</f>
        <v>2361.6</v>
      </c>
      <c r="AK68" s="331">
        <f t="shared" si="21"/>
        <v>2.5562499999999999</v>
      </c>
      <c r="AL68" s="322">
        <f t="shared" ref="AL68:AL80" si="127">(AK68*AN68)*A68</f>
        <v>204.5</v>
      </c>
      <c r="AM68" s="323">
        <f t="shared" ref="AM68:AM80" si="128">IF(A68&gt;0,(AH68+AD68+AK68),0)</f>
        <v>32.076250000000002</v>
      </c>
      <c r="AN68" s="324">
        <v>80</v>
      </c>
      <c r="AO68" s="322">
        <f t="shared" ref="AO68:AO80" si="129">AN68*AM68</f>
        <v>2566.1000000000004</v>
      </c>
      <c r="AP68" s="332">
        <f t="shared" ref="AP68:AP80" si="130">AO68*A68</f>
        <v>2566.1000000000004</v>
      </c>
      <c r="AQ68" s="333">
        <f t="shared" ref="AQ68:AQ80" si="131">AP68+Z68</f>
        <v>10640.956396760268</v>
      </c>
    </row>
    <row r="69" spans="1:43">
      <c r="A69" s="307">
        <v>1</v>
      </c>
      <c r="B69" s="298" t="s">
        <v>489</v>
      </c>
      <c r="C69" s="299" t="s">
        <v>399</v>
      </c>
      <c r="D69" s="299" t="s">
        <v>488</v>
      </c>
      <c r="E69" s="529">
        <v>42625</v>
      </c>
      <c r="F69" s="525">
        <f t="shared" si="112"/>
        <v>1</v>
      </c>
      <c r="G69" s="529">
        <f t="shared" si="113"/>
        <v>42625</v>
      </c>
      <c r="H69" s="529"/>
      <c r="I69" s="300">
        <f t="shared" ref="I69:I78" si="132">22*4*AR$1</f>
        <v>440</v>
      </c>
      <c r="J69" s="300">
        <v>4</v>
      </c>
      <c r="K69" s="301"/>
      <c r="L69" s="302">
        <f t="shared" si="114"/>
        <v>2025</v>
      </c>
      <c r="M69" s="302">
        <f t="shared" si="114"/>
        <v>2033</v>
      </c>
      <c r="N69" s="302">
        <f t="shared" si="114"/>
        <v>8</v>
      </c>
      <c r="O69" s="300">
        <v>83</v>
      </c>
      <c r="P69" s="529">
        <f t="shared" si="115"/>
        <v>42625</v>
      </c>
      <c r="Q69" s="529">
        <f t="shared" si="116"/>
        <v>10656.25</v>
      </c>
      <c r="R69" s="529">
        <f t="shared" si="117"/>
        <v>10656.25</v>
      </c>
      <c r="S69" s="529">
        <f t="shared" si="118"/>
        <v>1476.3937196589322</v>
      </c>
      <c r="T69" s="529">
        <f t="shared" si="119"/>
        <v>1476.3937196589322</v>
      </c>
      <c r="U69" s="529">
        <f t="shared" si="120"/>
        <v>12132.643719658932</v>
      </c>
      <c r="V69" s="529">
        <f t="shared" si="10"/>
        <v>1332.03125</v>
      </c>
      <c r="W69" s="529">
        <f t="shared" si="121"/>
        <v>1332.03125</v>
      </c>
      <c r="X69" s="291">
        <f t="shared" si="12"/>
        <v>0</v>
      </c>
      <c r="Y69" s="291">
        <f t="shared" si="122"/>
        <v>13464.674969658932</v>
      </c>
      <c r="Z69" s="335">
        <f t="shared" si="123"/>
        <v>13464.674969658932</v>
      </c>
      <c r="AA69" s="334">
        <f>VLOOKUP(O69,'B.0.ConsumiblesMaquinaria'!C$7:D$16,2)</f>
        <v>7.5999999999999998E-2</v>
      </c>
      <c r="AB69" s="301">
        <f t="shared" si="15"/>
        <v>33.44</v>
      </c>
      <c r="AC69" s="301">
        <f>+'B.0.ConsumiblesMaquinaria'!J$24</f>
        <v>9.879999999999999</v>
      </c>
      <c r="AD69" s="301">
        <f t="shared" si="124"/>
        <v>3.75</v>
      </c>
      <c r="AE69" s="300">
        <f>8.5*AE$106</f>
        <v>6.8000000000000007</v>
      </c>
      <c r="AF69" s="300">
        <f t="shared" si="17"/>
        <v>2992</v>
      </c>
      <c r="AG69" s="301">
        <f>+'B.0.ConsumiblesMaquinaria'!J$22</f>
        <v>1.7</v>
      </c>
      <c r="AH69" s="301">
        <f t="shared" si="18"/>
        <v>57.8</v>
      </c>
      <c r="AI69" s="301">
        <f t="shared" si="125"/>
        <v>61.55</v>
      </c>
      <c r="AJ69" s="300">
        <f t="shared" si="126"/>
        <v>4924</v>
      </c>
      <c r="AK69" s="304">
        <f t="shared" si="21"/>
        <v>4.2625000000000002</v>
      </c>
      <c r="AL69" s="300">
        <f t="shared" si="127"/>
        <v>341</v>
      </c>
      <c r="AM69" s="301">
        <f t="shared" si="128"/>
        <v>65.8125</v>
      </c>
      <c r="AN69" s="302">
        <v>80</v>
      </c>
      <c r="AO69" s="300">
        <f t="shared" si="129"/>
        <v>5265</v>
      </c>
      <c r="AP69" s="303">
        <f t="shared" si="130"/>
        <v>5265</v>
      </c>
      <c r="AQ69" s="335">
        <f t="shared" si="131"/>
        <v>18729.674969658932</v>
      </c>
    </row>
    <row r="70" spans="1:43">
      <c r="A70" s="307">
        <v>0</v>
      </c>
      <c r="B70" s="298" t="s">
        <v>490</v>
      </c>
      <c r="C70" s="299"/>
      <c r="D70" s="299" t="s">
        <v>434</v>
      </c>
      <c r="E70" s="529">
        <v>3500</v>
      </c>
      <c r="F70" s="525">
        <f t="shared" si="112"/>
        <v>1</v>
      </c>
      <c r="G70" s="529">
        <f t="shared" si="113"/>
        <v>3500</v>
      </c>
      <c r="H70" s="529"/>
      <c r="I70" s="300">
        <f t="shared" si="132"/>
        <v>440</v>
      </c>
      <c r="J70" s="300">
        <v>4</v>
      </c>
      <c r="K70" s="301"/>
      <c r="L70" s="302">
        <f t="shared" si="114"/>
        <v>2025</v>
      </c>
      <c r="M70" s="302">
        <f t="shared" si="114"/>
        <v>2033</v>
      </c>
      <c r="N70" s="302">
        <f t="shared" si="114"/>
        <v>8</v>
      </c>
      <c r="O70" s="300">
        <v>0</v>
      </c>
      <c r="P70" s="529">
        <f t="shared" si="115"/>
        <v>0</v>
      </c>
      <c r="Q70" s="529">
        <f t="shared" si="116"/>
        <v>0</v>
      </c>
      <c r="R70" s="529">
        <f t="shared" si="117"/>
        <v>0</v>
      </c>
      <c r="S70" s="529">
        <f t="shared" si="118"/>
        <v>0</v>
      </c>
      <c r="T70" s="529">
        <f t="shared" si="119"/>
        <v>0</v>
      </c>
      <c r="U70" s="529">
        <f t="shared" si="120"/>
        <v>0</v>
      </c>
      <c r="V70" s="529">
        <f t="shared" si="10"/>
        <v>0</v>
      </c>
      <c r="W70" s="529">
        <f t="shared" si="121"/>
        <v>0</v>
      </c>
      <c r="X70" s="291">
        <f t="shared" si="12"/>
        <v>0</v>
      </c>
      <c r="Y70" s="291">
        <f t="shared" si="122"/>
        <v>0</v>
      </c>
      <c r="Z70" s="335">
        <f t="shared" si="123"/>
        <v>0</v>
      </c>
      <c r="AA70" s="334">
        <v>0</v>
      </c>
      <c r="AB70" s="301">
        <f t="shared" si="15"/>
        <v>0</v>
      </c>
      <c r="AC70" s="301">
        <v>0</v>
      </c>
      <c r="AD70" s="301">
        <f t="shared" si="124"/>
        <v>0</v>
      </c>
      <c r="AE70" s="300">
        <f t="shared" ref="AE70:AE80" si="133">0*AE$106</f>
        <v>0</v>
      </c>
      <c r="AF70" s="300">
        <f t="shared" si="17"/>
        <v>0</v>
      </c>
      <c r="AG70" s="301">
        <f>+'B.0.ConsumiblesMaquinaria'!J$22</f>
        <v>1.7</v>
      </c>
      <c r="AH70" s="301">
        <f t="shared" si="18"/>
        <v>0</v>
      </c>
      <c r="AI70" s="301">
        <f t="shared" si="125"/>
        <v>0</v>
      </c>
      <c r="AJ70" s="300">
        <f t="shared" si="126"/>
        <v>0</v>
      </c>
      <c r="AK70" s="304">
        <f t="shared" si="21"/>
        <v>0</v>
      </c>
      <c r="AL70" s="300">
        <f t="shared" si="127"/>
        <v>0</v>
      </c>
      <c r="AM70" s="301">
        <f t="shared" si="128"/>
        <v>0</v>
      </c>
      <c r="AN70" s="302">
        <v>80</v>
      </c>
      <c r="AO70" s="300">
        <f t="shared" si="129"/>
        <v>0</v>
      </c>
      <c r="AP70" s="303">
        <f t="shared" si="130"/>
        <v>0</v>
      </c>
      <c r="AQ70" s="335">
        <f t="shared" si="131"/>
        <v>0</v>
      </c>
    </row>
    <row r="71" spans="1:43">
      <c r="A71" s="307">
        <v>0</v>
      </c>
      <c r="B71" s="298" t="s">
        <v>491</v>
      </c>
      <c r="C71" s="299"/>
      <c r="D71" s="299" t="s">
        <v>434</v>
      </c>
      <c r="E71" s="529">
        <v>4375</v>
      </c>
      <c r="F71" s="525">
        <f t="shared" si="112"/>
        <v>1</v>
      </c>
      <c r="G71" s="529">
        <f t="shared" si="113"/>
        <v>4375</v>
      </c>
      <c r="H71" s="529"/>
      <c r="I71" s="300">
        <f t="shared" si="132"/>
        <v>440</v>
      </c>
      <c r="J71" s="300">
        <v>4</v>
      </c>
      <c r="K71" s="301"/>
      <c r="L71" s="302">
        <f t="shared" si="114"/>
        <v>2025</v>
      </c>
      <c r="M71" s="302">
        <f t="shared" si="114"/>
        <v>2033</v>
      </c>
      <c r="N71" s="302">
        <f t="shared" si="114"/>
        <v>8</v>
      </c>
      <c r="O71" s="300">
        <v>0</v>
      </c>
      <c r="P71" s="529">
        <f t="shared" si="115"/>
        <v>0</v>
      </c>
      <c r="Q71" s="529">
        <f t="shared" si="116"/>
        <v>0</v>
      </c>
      <c r="R71" s="529">
        <f t="shared" si="117"/>
        <v>0</v>
      </c>
      <c r="S71" s="529">
        <f t="shared" si="118"/>
        <v>0</v>
      </c>
      <c r="T71" s="529">
        <f t="shared" si="119"/>
        <v>0</v>
      </c>
      <c r="U71" s="529">
        <f t="shared" si="120"/>
        <v>0</v>
      </c>
      <c r="V71" s="529">
        <f t="shared" si="10"/>
        <v>0</v>
      </c>
      <c r="W71" s="529">
        <f t="shared" si="121"/>
        <v>0</v>
      </c>
      <c r="X71" s="291">
        <f t="shared" si="12"/>
        <v>0</v>
      </c>
      <c r="Y71" s="291">
        <f t="shared" si="122"/>
        <v>0</v>
      </c>
      <c r="Z71" s="335">
        <f t="shared" si="123"/>
        <v>0</v>
      </c>
      <c r="AA71" s="334">
        <v>0</v>
      </c>
      <c r="AB71" s="301">
        <f t="shared" si="15"/>
        <v>0</v>
      </c>
      <c r="AC71" s="301">
        <v>0</v>
      </c>
      <c r="AD71" s="301">
        <f t="shared" si="124"/>
        <v>0</v>
      </c>
      <c r="AE71" s="300">
        <f t="shared" si="133"/>
        <v>0</v>
      </c>
      <c r="AF71" s="300">
        <f t="shared" si="17"/>
        <v>0</v>
      </c>
      <c r="AG71" s="301">
        <f>+'B.0.ConsumiblesMaquinaria'!J$22</f>
        <v>1.7</v>
      </c>
      <c r="AH71" s="301">
        <f t="shared" si="18"/>
        <v>0</v>
      </c>
      <c r="AI71" s="301">
        <f t="shared" si="125"/>
        <v>0</v>
      </c>
      <c r="AJ71" s="300">
        <f t="shared" si="126"/>
        <v>0</v>
      </c>
      <c r="AK71" s="304">
        <f t="shared" si="21"/>
        <v>0</v>
      </c>
      <c r="AL71" s="300">
        <f t="shared" si="127"/>
        <v>0</v>
      </c>
      <c r="AM71" s="301">
        <f t="shared" si="128"/>
        <v>0</v>
      </c>
      <c r="AN71" s="302">
        <v>80</v>
      </c>
      <c r="AO71" s="300">
        <f t="shared" si="129"/>
        <v>0</v>
      </c>
      <c r="AP71" s="303">
        <f t="shared" si="130"/>
        <v>0</v>
      </c>
      <c r="AQ71" s="335">
        <f t="shared" si="131"/>
        <v>0</v>
      </c>
    </row>
    <row r="72" spans="1:43">
      <c r="A72" s="307">
        <v>1</v>
      </c>
      <c r="B72" s="298" t="s">
        <v>492</v>
      </c>
      <c r="C72" s="299"/>
      <c r="D72" s="299" t="s">
        <v>493</v>
      </c>
      <c r="E72" s="529">
        <v>11750</v>
      </c>
      <c r="F72" s="525">
        <f t="shared" si="112"/>
        <v>1</v>
      </c>
      <c r="G72" s="529">
        <f t="shared" si="113"/>
        <v>11750</v>
      </c>
      <c r="H72" s="529"/>
      <c r="I72" s="300">
        <f t="shared" si="132"/>
        <v>440</v>
      </c>
      <c r="J72" s="300">
        <v>4</v>
      </c>
      <c r="K72" s="301"/>
      <c r="L72" s="302">
        <f t="shared" si="114"/>
        <v>2025</v>
      </c>
      <c r="M72" s="302">
        <f t="shared" si="114"/>
        <v>2033</v>
      </c>
      <c r="N72" s="302">
        <f t="shared" si="114"/>
        <v>8</v>
      </c>
      <c r="O72" s="300">
        <v>0</v>
      </c>
      <c r="P72" s="529">
        <f t="shared" si="115"/>
        <v>11750</v>
      </c>
      <c r="Q72" s="529">
        <f t="shared" si="116"/>
        <v>2937.5</v>
      </c>
      <c r="R72" s="529">
        <f t="shared" si="117"/>
        <v>2937.5</v>
      </c>
      <c r="S72" s="529">
        <f t="shared" si="118"/>
        <v>406.98243298516036</v>
      </c>
      <c r="T72" s="529">
        <f t="shared" si="119"/>
        <v>406.98243298516036</v>
      </c>
      <c r="U72" s="529">
        <f t="shared" si="120"/>
        <v>3344.4824329851604</v>
      </c>
      <c r="V72" s="529">
        <f t="shared" si="10"/>
        <v>367.1875</v>
      </c>
      <c r="W72" s="529">
        <f t="shared" si="121"/>
        <v>367.1875</v>
      </c>
      <c r="X72" s="291">
        <f t="shared" si="12"/>
        <v>0</v>
      </c>
      <c r="Y72" s="291">
        <f t="shared" si="122"/>
        <v>3711.6699329851604</v>
      </c>
      <c r="Z72" s="335">
        <f t="shared" si="123"/>
        <v>3711.6699329851604</v>
      </c>
      <c r="AA72" s="334">
        <v>0</v>
      </c>
      <c r="AB72" s="301">
        <f t="shared" si="15"/>
        <v>0</v>
      </c>
      <c r="AC72" s="301">
        <v>0</v>
      </c>
      <c r="AD72" s="301">
        <f t="shared" si="124"/>
        <v>0</v>
      </c>
      <c r="AE72" s="300">
        <f t="shared" si="133"/>
        <v>0</v>
      </c>
      <c r="AF72" s="300">
        <f t="shared" si="17"/>
        <v>0</v>
      </c>
      <c r="AG72" s="301">
        <f>+'B.0.ConsumiblesMaquinaria'!J$22</f>
        <v>1.7</v>
      </c>
      <c r="AH72" s="301">
        <f t="shared" si="18"/>
        <v>0</v>
      </c>
      <c r="AI72" s="301">
        <f t="shared" si="125"/>
        <v>0</v>
      </c>
      <c r="AJ72" s="300">
        <f t="shared" si="126"/>
        <v>0</v>
      </c>
      <c r="AK72" s="304">
        <f t="shared" si="21"/>
        <v>1.175</v>
      </c>
      <c r="AL72" s="300">
        <f t="shared" si="127"/>
        <v>94</v>
      </c>
      <c r="AM72" s="301">
        <f t="shared" si="128"/>
        <v>1.175</v>
      </c>
      <c r="AN72" s="302">
        <v>80</v>
      </c>
      <c r="AO72" s="300">
        <f t="shared" si="129"/>
        <v>94</v>
      </c>
      <c r="AP72" s="303">
        <f t="shared" si="130"/>
        <v>94</v>
      </c>
      <c r="AQ72" s="335">
        <f t="shared" si="131"/>
        <v>3805.6699329851604</v>
      </c>
    </row>
    <row r="73" spans="1:43">
      <c r="A73" s="307">
        <v>0</v>
      </c>
      <c r="B73" s="298" t="s">
        <v>494</v>
      </c>
      <c r="C73" s="299"/>
      <c r="D73" s="299" t="s">
        <v>495</v>
      </c>
      <c r="E73" s="529">
        <v>5375</v>
      </c>
      <c r="F73" s="525">
        <f t="shared" si="112"/>
        <v>1</v>
      </c>
      <c r="G73" s="529">
        <f t="shared" si="113"/>
        <v>5375</v>
      </c>
      <c r="H73" s="529"/>
      <c r="I73" s="300">
        <f>22*2*AR$1</f>
        <v>220</v>
      </c>
      <c r="J73" s="300">
        <v>4</v>
      </c>
      <c r="K73" s="301"/>
      <c r="L73" s="302">
        <f t="shared" si="114"/>
        <v>2025</v>
      </c>
      <c r="M73" s="302">
        <f t="shared" si="114"/>
        <v>2033</v>
      </c>
      <c r="N73" s="302">
        <f t="shared" si="114"/>
        <v>8</v>
      </c>
      <c r="O73" s="300">
        <v>0</v>
      </c>
      <c r="P73" s="529">
        <f t="shared" si="115"/>
        <v>0</v>
      </c>
      <c r="Q73" s="529">
        <f t="shared" si="116"/>
        <v>0</v>
      </c>
      <c r="R73" s="529">
        <f t="shared" si="117"/>
        <v>0</v>
      </c>
      <c r="S73" s="529">
        <f t="shared" si="118"/>
        <v>0</v>
      </c>
      <c r="T73" s="529">
        <f t="shared" si="119"/>
        <v>0</v>
      </c>
      <c r="U73" s="529">
        <f t="shared" si="120"/>
        <v>0</v>
      </c>
      <c r="V73" s="529">
        <f t="shared" si="10"/>
        <v>0</v>
      </c>
      <c r="W73" s="529">
        <f t="shared" si="121"/>
        <v>0</v>
      </c>
      <c r="X73" s="291">
        <f t="shared" si="12"/>
        <v>0</v>
      </c>
      <c r="Y73" s="291">
        <f t="shared" si="122"/>
        <v>0</v>
      </c>
      <c r="Z73" s="335">
        <f t="shared" si="123"/>
        <v>0</v>
      </c>
      <c r="AA73" s="334">
        <v>0</v>
      </c>
      <c r="AB73" s="301">
        <f t="shared" si="15"/>
        <v>0</v>
      </c>
      <c r="AC73" s="301">
        <v>0</v>
      </c>
      <c r="AD73" s="301">
        <f t="shared" si="124"/>
        <v>0</v>
      </c>
      <c r="AE73" s="300">
        <f t="shared" si="133"/>
        <v>0</v>
      </c>
      <c r="AF73" s="300">
        <f t="shared" si="17"/>
        <v>0</v>
      </c>
      <c r="AG73" s="301">
        <f>+'B.0.ConsumiblesMaquinaria'!J$22</f>
        <v>1.7</v>
      </c>
      <c r="AH73" s="301">
        <f t="shared" si="18"/>
        <v>0</v>
      </c>
      <c r="AI73" s="301">
        <f t="shared" si="125"/>
        <v>0</v>
      </c>
      <c r="AJ73" s="300">
        <f t="shared" si="126"/>
        <v>0</v>
      </c>
      <c r="AK73" s="304">
        <f t="shared" si="21"/>
        <v>0</v>
      </c>
      <c r="AL73" s="300">
        <f t="shared" si="127"/>
        <v>0</v>
      </c>
      <c r="AM73" s="301">
        <f t="shared" si="128"/>
        <v>0</v>
      </c>
      <c r="AN73" s="302">
        <v>80</v>
      </c>
      <c r="AO73" s="300">
        <f t="shared" si="129"/>
        <v>0</v>
      </c>
      <c r="AP73" s="303">
        <f t="shared" si="130"/>
        <v>0</v>
      </c>
      <c r="AQ73" s="335">
        <f t="shared" si="131"/>
        <v>0</v>
      </c>
    </row>
    <row r="74" spans="1:43">
      <c r="A74" s="307">
        <v>0</v>
      </c>
      <c r="B74" s="298" t="s">
        <v>496</v>
      </c>
      <c r="C74" s="299"/>
      <c r="D74" s="299" t="s">
        <v>497</v>
      </c>
      <c r="E74" s="529">
        <v>1875</v>
      </c>
      <c r="F74" s="525">
        <f t="shared" si="112"/>
        <v>1</v>
      </c>
      <c r="G74" s="529">
        <f t="shared" si="113"/>
        <v>1875</v>
      </c>
      <c r="H74" s="529"/>
      <c r="I74" s="300">
        <f>22*2*AR$1</f>
        <v>220</v>
      </c>
      <c r="J74" s="300">
        <v>4</v>
      </c>
      <c r="K74" s="301"/>
      <c r="L74" s="302">
        <f t="shared" si="114"/>
        <v>2025</v>
      </c>
      <c r="M74" s="302">
        <f t="shared" si="114"/>
        <v>2033</v>
      </c>
      <c r="N74" s="302">
        <f t="shared" si="114"/>
        <v>8</v>
      </c>
      <c r="O74" s="300">
        <v>0</v>
      </c>
      <c r="P74" s="529">
        <f t="shared" si="115"/>
        <v>0</v>
      </c>
      <c r="Q74" s="529">
        <f t="shared" si="116"/>
        <v>0</v>
      </c>
      <c r="R74" s="529">
        <f t="shared" si="117"/>
        <v>0</v>
      </c>
      <c r="S74" s="529">
        <f t="shared" si="118"/>
        <v>0</v>
      </c>
      <c r="T74" s="529">
        <f t="shared" si="119"/>
        <v>0</v>
      </c>
      <c r="U74" s="529">
        <f t="shared" si="120"/>
        <v>0</v>
      </c>
      <c r="V74" s="529">
        <f t="shared" ref="V74:V100" si="134">Q74*V$6</f>
        <v>0</v>
      </c>
      <c r="W74" s="529">
        <f t="shared" si="121"/>
        <v>0</v>
      </c>
      <c r="X74" s="291">
        <f t="shared" ref="X74:X80" si="135">IF((J74-N74)&lt;0,0,(Q74*(J74-(N74))))</f>
        <v>0</v>
      </c>
      <c r="Y74" s="291">
        <f t="shared" si="122"/>
        <v>0</v>
      </c>
      <c r="Z74" s="335">
        <f t="shared" si="123"/>
        <v>0</v>
      </c>
      <c r="AA74" s="334">
        <v>0</v>
      </c>
      <c r="AB74" s="301">
        <f t="shared" ref="AB74:AB80" si="136">IF(A74&gt;0,+I74*AA74,0)</f>
        <v>0</v>
      </c>
      <c r="AC74" s="301">
        <v>0</v>
      </c>
      <c r="AD74" s="301">
        <f t="shared" si="124"/>
        <v>0</v>
      </c>
      <c r="AE74" s="300">
        <f t="shared" si="133"/>
        <v>0</v>
      </c>
      <c r="AF74" s="300">
        <f t="shared" ref="AF74:AF100" si="137">IF(A74&gt;0,ROUND(AE74*I74,2),0)</f>
        <v>0</v>
      </c>
      <c r="AG74" s="301">
        <f>+'B.0.ConsumiblesMaquinaria'!J$22</f>
        <v>1.7</v>
      </c>
      <c r="AH74" s="301">
        <f t="shared" ref="AH74:AH100" si="138">IF(A74&gt;0,+ROUND(AE74*AR$1*AG74,4),0)</f>
        <v>0</v>
      </c>
      <c r="AI74" s="301">
        <f t="shared" si="125"/>
        <v>0</v>
      </c>
      <c r="AJ74" s="300">
        <f t="shared" si="126"/>
        <v>0</v>
      </c>
      <c r="AK74" s="304">
        <f t="shared" ref="AK74:AK100" si="139">IF(A74&gt;0,E74*AK$6,0)</f>
        <v>0</v>
      </c>
      <c r="AL74" s="300">
        <f t="shared" si="127"/>
        <v>0</v>
      </c>
      <c r="AM74" s="301">
        <f t="shared" si="128"/>
        <v>0</v>
      </c>
      <c r="AN74" s="302">
        <v>80</v>
      </c>
      <c r="AO74" s="300">
        <f t="shared" si="129"/>
        <v>0</v>
      </c>
      <c r="AP74" s="303">
        <f t="shared" si="130"/>
        <v>0</v>
      </c>
      <c r="AQ74" s="335">
        <f t="shared" si="131"/>
        <v>0</v>
      </c>
    </row>
    <row r="75" spans="1:43">
      <c r="A75" s="307">
        <v>0</v>
      </c>
      <c r="B75" s="298" t="s">
        <v>498</v>
      </c>
      <c r="C75" s="299"/>
      <c r="D75" s="299" t="s">
        <v>499</v>
      </c>
      <c r="E75" s="529">
        <v>3125</v>
      </c>
      <c r="F75" s="525">
        <f t="shared" si="112"/>
        <v>1</v>
      </c>
      <c r="G75" s="529">
        <f t="shared" si="113"/>
        <v>3125</v>
      </c>
      <c r="H75" s="529"/>
      <c r="I75" s="300">
        <f t="shared" si="132"/>
        <v>440</v>
      </c>
      <c r="J75" s="300">
        <v>4</v>
      </c>
      <c r="K75" s="301"/>
      <c r="L75" s="302">
        <f t="shared" si="114"/>
        <v>2025</v>
      </c>
      <c r="M75" s="302">
        <f t="shared" si="114"/>
        <v>2033</v>
      </c>
      <c r="N75" s="302">
        <f t="shared" si="114"/>
        <v>8</v>
      </c>
      <c r="O75" s="300">
        <v>0</v>
      </c>
      <c r="P75" s="529">
        <f t="shared" si="115"/>
        <v>0</v>
      </c>
      <c r="Q75" s="529">
        <f t="shared" si="116"/>
        <v>0</v>
      </c>
      <c r="R75" s="529">
        <f t="shared" si="117"/>
        <v>0</v>
      </c>
      <c r="S75" s="529">
        <f t="shared" si="118"/>
        <v>0</v>
      </c>
      <c r="T75" s="529">
        <f t="shared" si="119"/>
        <v>0</v>
      </c>
      <c r="U75" s="529">
        <f t="shared" si="120"/>
        <v>0</v>
      </c>
      <c r="V75" s="529">
        <f t="shared" si="134"/>
        <v>0</v>
      </c>
      <c r="W75" s="529">
        <f t="shared" si="121"/>
        <v>0</v>
      </c>
      <c r="X75" s="291">
        <f t="shared" si="135"/>
        <v>0</v>
      </c>
      <c r="Y75" s="291">
        <f t="shared" si="122"/>
        <v>0</v>
      </c>
      <c r="Z75" s="335">
        <f t="shared" si="123"/>
        <v>0</v>
      </c>
      <c r="AA75" s="334">
        <v>0</v>
      </c>
      <c r="AB75" s="301">
        <f t="shared" si="136"/>
        <v>0</v>
      </c>
      <c r="AC75" s="301">
        <v>0</v>
      </c>
      <c r="AD75" s="301">
        <f t="shared" si="124"/>
        <v>0</v>
      </c>
      <c r="AE75" s="300">
        <f t="shared" si="133"/>
        <v>0</v>
      </c>
      <c r="AF75" s="300">
        <f t="shared" si="137"/>
        <v>0</v>
      </c>
      <c r="AG75" s="301">
        <f>+'B.0.ConsumiblesMaquinaria'!J$22</f>
        <v>1.7</v>
      </c>
      <c r="AH75" s="301">
        <f t="shared" si="138"/>
        <v>0</v>
      </c>
      <c r="AI75" s="301">
        <f t="shared" si="125"/>
        <v>0</v>
      </c>
      <c r="AJ75" s="300">
        <f t="shared" si="126"/>
        <v>0</v>
      </c>
      <c r="AK75" s="304">
        <f t="shared" si="139"/>
        <v>0</v>
      </c>
      <c r="AL75" s="300">
        <f t="shared" si="127"/>
        <v>0</v>
      </c>
      <c r="AM75" s="301">
        <f t="shared" si="128"/>
        <v>0</v>
      </c>
      <c r="AN75" s="302">
        <v>80</v>
      </c>
      <c r="AO75" s="300">
        <f t="shared" si="129"/>
        <v>0</v>
      </c>
      <c r="AP75" s="303">
        <f t="shared" si="130"/>
        <v>0</v>
      </c>
      <c r="AQ75" s="335">
        <f t="shared" si="131"/>
        <v>0</v>
      </c>
    </row>
    <row r="76" spans="1:43">
      <c r="A76" s="307">
        <v>0</v>
      </c>
      <c r="B76" s="298" t="s">
        <v>500</v>
      </c>
      <c r="C76" s="299"/>
      <c r="D76" s="299" t="s">
        <v>426</v>
      </c>
      <c r="E76" s="529">
        <v>3125</v>
      </c>
      <c r="F76" s="525">
        <f t="shared" si="112"/>
        <v>1</v>
      </c>
      <c r="G76" s="529">
        <f t="shared" si="113"/>
        <v>3125</v>
      </c>
      <c r="H76" s="529"/>
      <c r="I76" s="300">
        <f t="shared" si="132"/>
        <v>440</v>
      </c>
      <c r="J76" s="300">
        <v>4</v>
      </c>
      <c r="K76" s="301"/>
      <c r="L76" s="302">
        <f t="shared" si="114"/>
        <v>2025</v>
      </c>
      <c r="M76" s="302">
        <f t="shared" si="114"/>
        <v>2033</v>
      </c>
      <c r="N76" s="302">
        <f t="shared" si="114"/>
        <v>8</v>
      </c>
      <c r="O76" s="300">
        <v>0</v>
      </c>
      <c r="P76" s="529">
        <f t="shared" si="115"/>
        <v>0</v>
      </c>
      <c r="Q76" s="529">
        <f t="shared" si="116"/>
        <v>0</v>
      </c>
      <c r="R76" s="529">
        <f t="shared" si="117"/>
        <v>0</v>
      </c>
      <c r="S76" s="529">
        <f t="shared" si="118"/>
        <v>0</v>
      </c>
      <c r="T76" s="529">
        <f t="shared" si="119"/>
        <v>0</v>
      </c>
      <c r="U76" s="529">
        <f t="shared" si="120"/>
        <v>0</v>
      </c>
      <c r="V76" s="529">
        <f t="shared" si="134"/>
        <v>0</v>
      </c>
      <c r="W76" s="529">
        <f t="shared" si="121"/>
        <v>0</v>
      </c>
      <c r="X76" s="291">
        <f t="shared" si="135"/>
        <v>0</v>
      </c>
      <c r="Y76" s="291">
        <f t="shared" si="122"/>
        <v>0</v>
      </c>
      <c r="Z76" s="335">
        <f t="shared" si="123"/>
        <v>0</v>
      </c>
      <c r="AA76" s="334">
        <v>0</v>
      </c>
      <c r="AB76" s="301">
        <f t="shared" si="136"/>
        <v>0</v>
      </c>
      <c r="AC76" s="301">
        <v>0</v>
      </c>
      <c r="AD76" s="301">
        <f t="shared" si="124"/>
        <v>0</v>
      </c>
      <c r="AE76" s="300">
        <f t="shared" si="133"/>
        <v>0</v>
      </c>
      <c r="AF76" s="300">
        <f t="shared" si="137"/>
        <v>0</v>
      </c>
      <c r="AG76" s="301">
        <f>+'B.0.ConsumiblesMaquinaria'!J$22</f>
        <v>1.7</v>
      </c>
      <c r="AH76" s="301">
        <f t="shared" si="138"/>
        <v>0</v>
      </c>
      <c r="AI76" s="301">
        <f t="shared" si="125"/>
        <v>0</v>
      </c>
      <c r="AJ76" s="300">
        <f t="shared" si="126"/>
        <v>0</v>
      </c>
      <c r="AK76" s="304">
        <f t="shared" si="139"/>
        <v>0</v>
      </c>
      <c r="AL76" s="300">
        <f t="shared" si="127"/>
        <v>0</v>
      </c>
      <c r="AM76" s="301">
        <f t="shared" si="128"/>
        <v>0</v>
      </c>
      <c r="AN76" s="302">
        <v>80</v>
      </c>
      <c r="AO76" s="300">
        <f t="shared" si="129"/>
        <v>0</v>
      </c>
      <c r="AP76" s="303">
        <f t="shared" si="130"/>
        <v>0</v>
      </c>
      <c r="AQ76" s="335">
        <f t="shared" si="131"/>
        <v>0</v>
      </c>
    </row>
    <row r="77" spans="1:43">
      <c r="A77" s="307">
        <v>1</v>
      </c>
      <c r="B77" s="298" t="s">
        <v>501</v>
      </c>
      <c r="C77" s="299"/>
      <c r="D77" s="299" t="s">
        <v>502</v>
      </c>
      <c r="E77" s="529">
        <v>3125</v>
      </c>
      <c r="F77" s="525">
        <f t="shared" si="112"/>
        <v>1</v>
      </c>
      <c r="G77" s="529">
        <f t="shared" si="113"/>
        <v>3125</v>
      </c>
      <c r="H77" s="529"/>
      <c r="I77" s="300">
        <f t="shared" si="132"/>
        <v>440</v>
      </c>
      <c r="J77" s="300">
        <v>4</v>
      </c>
      <c r="K77" s="301"/>
      <c r="L77" s="302">
        <f t="shared" si="114"/>
        <v>2025</v>
      </c>
      <c r="M77" s="302">
        <f t="shared" si="114"/>
        <v>2033</v>
      </c>
      <c r="N77" s="302">
        <f t="shared" si="114"/>
        <v>8</v>
      </c>
      <c r="O77" s="300">
        <v>50</v>
      </c>
      <c r="P77" s="529">
        <f t="shared" si="115"/>
        <v>3125</v>
      </c>
      <c r="Q77" s="529">
        <f t="shared" si="116"/>
        <v>781.25</v>
      </c>
      <c r="R77" s="529">
        <f t="shared" si="117"/>
        <v>781.25</v>
      </c>
      <c r="S77" s="529">
        <f t="shared" si="118"/>
        <v>108.24000877264905</v>
      </c>
      <c r="T77" s="529">
        <f t="shared" si="119"/>
        <v>108.24000877264905</v>
      </c>
      <c r="U77" s="529">
        <f t="shared" si="120"/>
        <v>889.49000877264905</v>
      </c>
      <c r="V77" s="529">
        <f t="shared" si="134"/>
        <v>97.65625</v>
      </c>
      <c r="W77" s="529">
        <f t="shared" si="121"/>
        <v>97.65625</v>
      </c>
      <c r="X77" s="291">
        <f t="shared" si="135"/>
        <v>0</v>
      </c>
      <c r="Y77" s="291">
        <f t="shared" si="122"/>
        <v>987.14625877264905</v>
      </c>
      <c r="Z77" s="335">
        <f t="shared" si="123"/>
        <v>987.14625877264905</v>
      </c>
      <c r="AA77" s="334">
        <f>VLOOKUP(O77,'B.0.ConsumiblesMaquinaria'!C$7:D$16,2)</f>
        <v>4.7E-2</v>
      </c>
      <c r="AB77" s="301">
        <f t="shared" si="136"/>
        <v>20.68</v>
      </c>
      <c r="AC77" s="301">
        <f>+'B.0.ConsumiblesMaquinaria'!J$24</f>
        <v>9.879999999999999</v>
      </c>
      <c r="AD77" s="301">
        <f t="shared" si="124"/>
        <v>2.3199999999999998</v>
      </c>
      <c r="AE77" s="300">
        <f t="shared" si="133"/>
        <v>0</v>
      </c>
      <c r="AF77" s="300">
        <f t="shared" si="137"/>
        <v>0</v>
      </c>
      <c r="AG77" s="301">
        <f>+'B.0.ConsumiblesMaquinaria'!J$22</f>
        <v>1.7</v>
      </c>
      <c r="AH77" s="301">
        <f t="shared" si="138"/>
        <v>0</v>
      </c>
      <c r="AI77" s="301">
        <f t="shared" si="125"/>
        <v>2.3199999999999998</v>
      </c>
      <c r="AJ77" s="300">
        <f t="shared" si="126"/>
        <v>185.6</v>
      </c>
      <c r="AK77" s="304">
        <f t="shared" si="139"/>
        <v>0.3125</v>
      </c>
      <c r="AL77" s="300">
        <f t="shared" si="127"/>
        <v>25</v>
      </c>
      <c r="AM77" s="301">
        <f t="shared" si="128"/>
        <v>2.6324999999999998</v>
      </c>
      <c r="AN77" s="302">
        <v>80</v>
      </c>
      <c r="AO77" s="300">
        <f t="shared" si="129"/>
        <v>210.6</v>
      </c>
      <c r="AP77" s="303">
        <f t="shared" si="130"/>
        <v>210.6</v>
      </c>
      <c r="AQ77" s="335">
        <f t="shared" si="131"/>
        <v>1197.7462587726491</v>
      </c>
    </row>
    <row r="78" spans="1:43">
      <c r="A78" s="307">
        <v>0</v>
      </c>
      <c r="B78" s="298" t="s">
        <v>503</v>
      </c>
      <c r="C78" s="299"/>
      <c r="D78" s="299" t="s">
        <v>502</v>
      </c>
      <c r="E78" s="529">
        <v>4375</v>
      </c>
      <c r="F78" s="525">
        <f t="shared" si="112"/>
        <v>1</v>
      </c>
      <c r="G78" s="529">
        <f t="shared" si="113"/>
        <v>4375</v>
      </c>
      <c r="H78" s="529"/>
      <c r="I78" s="300">
        <f t="shared" si="132"/>
        <v>440</v>
      </c>
      <c r="J78" s="300">
        <v>4</v>
      </c>
      <c r="K78" s="301"/>
      <c r="L78" s="302">
        <f t="shared" si="114"/>
        <v>2025</v>
      </c>
      <c r="M78" s="302">
        <f t="shared" si="114"/>
        <v>2033</v>
      </c>
      <c r="N78" s="302">
        <f t="shared" si="114"/>
        <v>8</v>
      </c>
      <c r="O78" s="300">
        <v>70</v>
      </c>
      <c r="P78" s="529">
        <f t="shared" si="115"/>
        <v>0</v>
      </c>
      <c r="Q78" s="529">
        <f t="shared" si="116"/>
        <v>0</v>
      </c>
      <c r="R78" s="529">
        <f t="shared" si="117"/>
        <v>0</v>
      </c>
      <c r="S78" s="529">
        <f t="shared" si="118"/>
        <v>0</v>
      </c>
      <c r="T78" s="529">
        <f t="shared" si="119"/>
        <v>0</v>
      </c>
      <c r="U78" s="529">
        <f t="shared" si="120"/>
        <v>0</v>
      </c>
      <c r="V78" s="529">
        <f t="shared" si="134"/>
        <v>0</v>
      </c>
      <c r="W78" s="529">
        <f t="shared" si="121"/>
        <v>0</v>
      </c>
      <c r="X78" s="291">
        <f t="shared" si="135"/>
        <v>0</v>
      </c>
      <c r="Y78" s="291">
        <f t="shared" si="122"/>
        <v>0</v>
      </c>
      <c r="Z78" s="335">
        <f t="shared" si="123"/>
        <v>0</v>
      </c>
      <c r="AA78" s="334">
        <f>VLOOKUP(O78,'B.0.ConsumiblesMaquinaria'!C$7:D$16,2)</f>
        <v>0.06</v>
      </c>
      <c r="AB78" s="301">
        <f t="shared" si="136"/>
        <v>0</v>
      </c>
      <c r="AC78" s="301">
        <f>+'B.0.ConsumiblesMaquinaria'!J$24</f>
        <v>9.879999999999999</v>
      </c>
      <c r="AD78" s="301">
        <f t="shared" si="124"/>
        <v>2.96</v>
      </c>
      <c r="AE78" s="300">
        <f t="shared" si="133"/>
        <v>0</v>
      </c>
      <c r="AF78" s="300">
        <f t="shared" si="137"/>
        <v>0</v>
      </c>
      <c r="AG78" s="301">
        <f>+'B.0.ConsumiblesMaquinaria'!J$22</f>
        <v>1.7</v>
      </c>
      <c r="AH78" s="301">
        <f t="shared" si="138"/>
        <v>0</v>
      </c>
      <c r="AI78" s="301">
        <f t="shared" si="125"/>
        <v>2.96</v>
      </c>
      <c r="AJ78" s="300">
        <f t="shared" si="126"/>
        <v>0</v>
      </c>
      <c r="AK78" s="304">
        <f t="shared" si="139"/>
        <v>0</v>
      </c>
      <c r="AL78" s="300">
        <f t="shared" si="127"/>
        <v>0</v>
      </c>
      <c r="AM78" s="301">
        <f t="shared" si="128"/>
        <v>0</v>
      </c>
      <c r="AN78" s="302">
        <v>80</v>
      </c>
      <c r="AO78" s="300">
        <f t="shared" si="129"/>
        <v>0</v>
      </c>
      <c r="AP78" s="303">
        <f t="shared" si="130"/>
        <v>0</v>
      </c>
      <c r="AQ78" s="335">
        <f t="shared" si="131"/>
        <v>0</v>
      </c>
    </row>
    <row r="79" spans="1:43">
      <c r="A79" s="307">
        <v>0</v>
      </c>
      <c r="B79" s="298" t="s">
        <v>504</v>
      </c>
      <c r="C79" s="299"/>
      <c r="D79" s="305" t="s">
        <v>505</v>
      </c>
      <c r="E79" s="529">
        <v>12022.5</v>
      </c>
      <c r="F79" s="525">
        <f t="shared" si="112"/>
        <v>1</v>
      </c>
      <c r="G79" s="529">
        <f t="shared" si="113"/>
        <v>12022.5</v>
      </c>
      <c r="H79" s="529"/>
      <c r="I79" s="300">
        <f>22*8*AR$1</f>
        <v>880</v>
      </c>
      <c r="J79" s="300">
        <v>4</v>
      </c>
      <c r="K79" s="301"/>
      <c r="L79" s="302">
        <f t="shared" si="114"/>
        <v>2025</v>
      </c>
      <c r="M79" s="302">
        <f t="shared" si="114"/>
        <v>2033</v>
      </c>
      <c r="N79" s="302">
        <f t="shared" si="114"/>
        <v>8</v>
      </c>
      <c r="O79" s="300">
        <v>40</v>
      </c>
      <c r="P79" s="529">
        <f t="shared" si="115"/>
        <v>0</v>
      </c>
      <c r="Q79" s="529">
        <f t="shared" si="116"/>
        <v>0</v>
      </c>
      <c r="R79" s="529">
        <f t="shared" si="117"/>
        <v>0</v>
      </c>
      <c r="S79" s="529">
        <f t="shared" si="118"/>
        <v>0</v>
      </c>
      <c r="T79" s="529">
        <f t="shared" si="119"/>
        <v>0</v>
      </c>
      <c r="U79" s="529">
        <f t="shared" si="120"/>
        <v>0</v>
      </c>
      <c r="V79" s="529">
        <f t="shared" si="134"/>
        <v>0</v>
      </c>
      <c r="W79" s="529">
        <f t="shared" si="121"/>
        <v>0</v>
      </c>
      <c r="X79" s="291">
        <f t="shared" si="135"/>
        <v>0</v>
      </c>
      <c r="Y79" s="291">
        <f t="shared" si="122"/>
        <v>0</v>
      </c>
      <c r="Z79" s="335">
        <f t="shared" si="123"/>
        <v>0</v>
      </c>
      <c r="AA79" s="334">
        <f>VLOOKUP(O79,'B.0.ConsumiblesMaquinaria'!C$7:D$16,2)</f>
        <v>3.9E-2</v>
      </c>
      <c r="AB79" s="301">
        <f t="shared" si="136"/>
        <v>0</v>
      </c>
      <c r="AC79" s="301">
        <f>+'B.0.ConsumiblesMaquinaria'!J$24</f>
        <v>9.879999999999999</v>
      </c>
      <c r="AD79" s="301">
        <f t="shared" si="124"/>
        <v>1.93</v>
      </c>
      <c r="AE79" s="300">
        <f t="shared" si="133"/>
        <v>0</v>
      </c>
      <c r="AF79" s="300">
        <f t="shared" si="137"/>
        <v>0</v>
      </c>
      <c r="AG79" s="301">
        <f>+'B.0.ConsumiblesMaquinaria'!J$22</f>
        <v>1.7</v>
      </c>
      <c r="AH79" s="301">
        <f t="shared" si="138"/>
        <v>0</v>
      </c>
      <c r="AI79" s="301">
        <f t="shared" si="125"/>
        <v>1.93</v>
      </c>
      <c r="AJ79" s="300">
        <f t="shared" si="126"/>
        <v>0</v>
      </c>
      <c r="AK79" s="304">
        <f t="shared" si="139"/>
        <v>0</v>
      </c>
      <c r="AL79" s="300">
        <f t="shared" si="127"/>
        <v>0</v>
      </c>
      <c r="AM79" s="301">
        <f t="shared" si="128"/>
        <v>0</v>
      </c>
      <c r="AN79" s="302">
        <v>80</v>
      </c>
      <c r="AO79" s="300">
        <f t="shared" si="129"/>
        <v>0</v>
      </c>
      <c r="AP79" s="303">
        <f t="shared" si="130"/>
        <v>0</v>
      </c>
      <c r="AQ79" s="335">
        <f t="shared" si="131"/>
        <v>0</v>
      </c>
    </row>
    <row r="80" spans="1:43">
      <c r="A80" s="307">
        <v>0</v>
      </c>
      <c r="B80" s="325" t="s">
        <v>506</v>
      </c>
      <c r="C80" s="326"/>
      <c r="D80" s="341" t="s">
        <v>505</v>
      </c>
      <c r="E80" s="530">
        <v>2518.9499999999998</v>
      </c>
      <c r="F80" s="526">
        <f t="shared" si="112"/>
        <v>1</v>
      </c>
      <c r="G80" s="530">
        <f t="shared" si="113"/>
        <v>2518.9499999999998</v>
      </c>
      <c r="H80" s="530"/>
      <c r="I80" s="327">
        <f>22*8*AR$1</f>
        <v>880</v>
      </c>
      <c r="J80" s="327">
        <v>4</v>
      </c>
      <c r="K80" s="328"/>
      <c r="L80" s="329">
        <f t="shared" si="114"/>
        <v>2025</v>
      </c>
      <c r="M80" s="329">
        <f t="shared" si="114"/>
        <v>2033</v>
      </c>
      <c r="N80" s="329">
        <f t="shared" si="114"/>
        <v>8</v>
      </c>
      <c r="O80" s="327">
        <v>18</v>
      </c>
      <c r="P80" s="530">
        <f t="shared" si="115"/>
        <v>0</v>
      </c>
      <c r="Q80" s="530">
        <f t="shared" si="116"/>
        <v>0</v>
      </c>
      <c r="R80" s="530">
        <f t="shared" si="117"/>
        <v>0</v>
      </c>
      <c r="S80" s="530">
        <f t="shared" si="118"/>
        <v>0</v>
      </c>
      <c r="T80" s="530">
        <f t="shared" si="119"/>
        <v>0</v>
      </c>
      <c r="U80" s="530">
        <f t="shared" si="120"/>
        <v>0</v>
      </c>
      <c r="V80" s="530">
        <f t="shared" si="134"/>
        <v>0</v>
      </c>
      <c r="W80" s="530">
        <f t="shared" si="121"/>
        <v>0</v>
      </c>
      <c r="X80" s="310">
        <f t="shared" si="135"/>
        <v>0</v>
      </c>
      <c r="Y80" s="310">
        <f t="shared" si="122"/>
        <v>0</v>
      </c>
      <c r="Z80" s="339">
        <f t="shared" si="123"/>
        <v>0</v>
      </c>
      <c r="AA80" s="336">
        <f>VLOOKUP(O80,'B.0.ConsumiblesMaquinaria'!C$7:D$16,2)</f>
        <v>3.5000000000000003E-2</v>
      </c>
      <c r="AB80" s="328">
        <f t="shared" si="136"/>
        <v>0</v>
      </c>
      <c r="AC80" s="328">
        <f>+'B.0.ConsumiblesMaquinaria'!J$24</f>
        <v>9.879999999999999</v>
      </c>
      <c r="AD80" s="328">
        <f t="shared" si="124"/>
        <v>1.73</v>
      </c>
      <c r="AE80" s="327">
        <f t="shared" si="133"/>
        <v>0</v>
      </c>
      <c r="AF80" s="327">
        <f t="shared" si="137"/>
        <v>0</v>
      </c>
      <c r="AG80" s="328">
        <f>+'B.0.ConsumiblesMaquinaria'!J$22</f>
        <v>1.7</v>
      </c>
      <c r="AH80" s="328">
        <f t="shared" si="138"/>
        <v>0</v>
      </c>
      <c r="AI80" s="328">
        <f t="shared" si="125"/>
        <v>1.73</v>
      </c>
      <c r="AJ80" s="327">
        <f t="shared" si="126"/>
        <v>0</v>
      </c>
      <c r="AK80" s="337">
        <f t="shared" si="139"/>
        <v>0</v>
      </c>
      <c r="AL80" s="327">
        <f t="shared" si="127"/>
        <v>0</v>
      </c>
      <c r="AM80" s="328">
        <f t="shared" si="128"/>
        <v>0</v>
      </c>
      <c r="AN80" s="329">
        <v>80</v>
      </c>
      <c r="AO80" s="327">
        <f t="shared" si="129"/>
        <v>0</v>
      </c>
      <c r="AP80" s="338">
        <f t="shared" si="130"/>
        <v>0</v>
      </c>
      <c r="AQ80" s="339">
        <f t="shared" si="131"/>
        <v>0</v>
      </c>
    </row>
    <row r="81" spans="1:43">
      <c r="A81" s="819" t="s">
        <v>507</v>
      </c>
      <c r="B81" s="820"/>
      <c r="C81" s="820"/>
      <c r="D81" s="93"/>
      <c r="E81" s="531"/>
      <c r="F81" s="93"/>
      <c r="G81" s="93"/>
      <c r="H81" s="532"/>
      <c r="I81" s="93"/>
      <c r="J81" s="93"/>
      <c r="K81" s="93"/>
      <c r="L81" s="96"/>
      <c r="M81" s="96"/>
      <c r="N81" s="96"/>
      <c r="O81" s="93"/>
      <c r="P81" s="531"/>
      <c r="Q81" s="531"/>
      <c r="R81" s="531"/>
      <c r="S81" s="531"/>
      <c r="T81" s="531"/>
      <c r="U81" s="531"/>
      <c r="V81" s="531"/>
      <c r="W81" s="531"/>
      <c r="X81" s="531"/>
      <c r="Y81" s="531"/>
      <c r="Z81" s="531"/>
      <c r="AA81" s="93"/>
      <c r="AB81" s="93"/>
      <c r="AC81" s="93"/>
      <c r="AD81" s="93"/>
      <c r="AE81" s="93"/>
      <c r="AF81" s="93"/>
      <c r="AG81" s="93"/>
      <c r="AH81" s="93"/>
      <c r="AI81" s="93"/>
      <c r="AJ81" s="431"/>
      <c r="AK81" s="93"/>
      <c r="AL81" s="431"/>
      <c r="AM81" s="93"/>
      <c r="AN81" s="93"/>
      <c r="AO81" s="93"/>
      <c r="AP81" s="343"/>
      <c r="AQ81" s="344"/>
    </row>
    <row r="82" spans="1:43">
      <c r="A82" s="307">
        <v>1</v>
      </c>
      <c r="B82" s="320" t="s">
        <v>508</v>
      </c>
      <c r="C82" s="321" t="s">
        <v>399</v>
      </c>
      <c r="D82" s="321" t="s">
        <v>509</v>
      </c>
      <c r="E82" s="528">
        <v>55625</v>
      </c>
      <c r="F82" s="524">
        <f t="shared" ref="F82:F100" si="140">$F$6</f>
        <v>1</v>
      </c>
      <c r="G82" s="528">
        <f t="shared" ref="G82:G100" si="141">E82*F82</f>
        <v>55625</v>
      </c>
      <c r="H82" s="528">
        <f>105*22</f>
        <v>2310</v>
      </c>
      <c r="I82" s="322">
        <f>22*2*AR$1</f>
        <v>220</v>
      </c>
      <c r="J82" s="322">
        <v>4</v>
      </c>
      <c r="K82" s="323"/>
      <c r="L82" s="324">
        <f t="shared" ref="L82:N100" si="142">L$4</f>
        <v>2025</v>
      </c>
      <c r="M82" s="324">
        <f t="shared" si="142"/>
        <v>2033</v>
      </c>
      <c r="N82" s="324">
        <f t="shared" si="142"/>
        <v>8</v>
      </c>
      <c r="O82" s="322">
        <v>95</v>
      </c>
      <c r="P82" s="528">
        <f t="shared" ref="P82:P100" si="143">E82*A82</f>
        <v>55625</v>
      </c>
      <c r="Q82" s="528">
        <f t="shared" ref="Q82:Q100" si="144">IF(A82&gt;0,E82/J82,0)</f>
        <v>13906.25</v>
      </c>
      <c r="R82" s="528">
        <f t="shared" ref="R82:R100" si="145">Q82*A82</f>
        <v>13906.25</v>
      </c>
      <c r="S82" s="528">
        <f t="shared" ref="S82:S100" si="146">IF(A82=0,0,PMT($S$6,J82,-G82))-Q82</f>
        <v>1926.6721561531522</v>
      </c>
      <c r="T82" s="528">
        <f t="shared" ref="T82:T100" si="147">S82*A82</f>
        <v>1926.6721561531522</v>
      </c>
      <c r="U82" s="528">
        <f t="shared" ref="U82:U100" si="148">(S82+Q82)*A82</f>
        <v>15832.922156153152</v>
      </c>
      <c r="V82" s="528">
        <f t="shared" si="134"/>
        <v>1738.28125</v>
      </c>
      <c r="W82" s="528">
        <f t="shared" ref="W82:W100" si="149">V82*A82</f>
        <v>1738.28125</v>
      </c>
      <c r="X82" s="306">
        <f t="shared" ref="X82:X100" si="150">IF((J82-N82)&lt;0,0,(Q82*(J82-(N82))))</f>
        <v>0</v>
      </c>
      <c r="Y82" s="306">
        <f t="shared" ref="Y82:Y100" si="151">IF(A82&gt;0,(Q82+S82+V82),0)</f>
        <v>17571.203406153152</v>
      </c>
      <c r="Z82" s="535">
        <f t="shared" ref="Z82:Z100" si="152">(Q82+S82+V82)*A82</f>
        <v>17571.203406153152</v>
      </c>
      <c r="AA82" s="331">
        <f>VLOOKUP(O82,'B.0.ConsumiblesMaquinaria'!C$7:D$16,2)</f>
        <v>7.5999999999999998E-2</v>
      </c>
      <c r="AB82" s="323">
        <f t="shared" ref="AB82:AB100" si="153">IF(A82&gt;0,+I82*AA82,0)</f>
        <v>16.72</v>
      </c>
      <c r="AC82" s="323">
        <f>+'B.0.ConsumiblesMaquinaria'!J$24</f>
        <v>9.879999999999999</v>
      </c>
      <c r="AD82" s="323">
        <f t="shared" ref="AD82:AD100" si="154">+ROUND(AA82*AR$1*AC82,2)</f>
        <v>3.75</v>
      </c>
      <c r="AE82" s="322">
        <f>5*AE$106</f>
        <v>4</v>
      </c>
      <c r="AF82" s="322">
        <f t="shared" si="137"/>
        <v>880</v>
      </c>
      <c r="AG82" s="323">
        <f>+'B.0.ConsumiblesMaquinaria'!J$22</f>
        <v>1.7</v>
      </c>
      <c r="AH82" s="323">
        <f t="shared" si="138"/>
        <v>34</v>
      </c>
      <c r="AI82" s="323">
        <f t="shared" ref="AI82:AI100" si="155">AH82+AD82</f>
        <v>37.75</v>
      </c>
      <c r="AJ82" s="322">
        <f t="shared" ref="AJ82:AJ100" si="156">(AI82*AN82)*A82</f>
        <v>755</v>
      </c>
      <c r="AK82" s="331">
        <f t="shared" si="139"/>
        <v>5.5625</v>
      </c>
      <c r="AL82" s="322">
        <f t="shared" ref="AL82:AL100" si="157">(AK82*AN82)*A82</f>
        <v>111.25</v>
      </c>
      <c r="AM82" s="323">
        <f t="shared" ref="AM82:AM100" si="158">IF(A82&gt;0,(AH82+AD82+AK82),0)</f>
        <v>43.3125</v>
      </c>
      <c r="AN82" s="324">
        <v>20</v>
      </c>
      <c r="AO82" s="322">
        <f t="shared" ref="AO82:AO100" si="159">AN82*AM82</f>
        <v>866.25</v>
      </c>
      <c r="AP82" s="332">
        <f t="shared" ref="AP82:AP100" si="160">AO82*A82</f>
        <v>866.25</v>
      </c>
      <c r="AQ82" s="333">
        <f t="shared" ref="AQ82:AQ100" si="161">AP82+Z82</f>
        <v>18437.453406153152</v>
      </c>
    </row>
    <row r="83" spans="1:43">
      <c r="A83" s="307">
        <v>0</v>
      </c>
      <c r="B83" s="298" t="s">
        <v>510</v>
      </c>
      <c r="C83" s="299" t="s">
        <v>399</v>
      </c>
      <c r="D83" s="299" t="s">
        <v>509</v>
      </c>
      <c r="E83" s="529">
        <v>42500</v>
      </c>
      <c r="F83" s="525">
        <f t="shared" si="140"/>
        <v>1</v>
      </c>
      <c r="G83" s="529">
        <f t="shared" si="141"/>
        <v>42500</v>
      </c>
      <c r="H83" s="529">
        <f>50*22</f>
        <v>1100</v>
      </c>
      <c r="I83" s="300">
        <f>22*4*AR$1</f>
        <v>440</v>
      </c>
      <c r="J83" s="300">
        <v>4</v>
      </c>
      <c r="K83" s="301"/>
      <c r="L83" s="302">
        <f t="shared" si="142"/>
        <v>2025</v>
      </c>
      <c r="M83" s="302">
        <f t="shared" si="142"/>
        <v>2033</v>
      </c>
      <c r="N83" s="302">
        <f t="shared" si="142"/>
        <v>8</v>
      </c>
      <c r="O83" s="300">
        <v>60.700000762939503</v>
      </c>
      <c r="P83" s="529">
        <f t="shared" si="143"/>
        <v>0</v>
      </c>
      <c r="Q83" s="529">
        <f t="shared" si="144"/>
        <v>0</v>
      </c>
      <c r="R83" s="529">
        <f t="shared" si="145"/>
        <v>0</v>
      </c>
      <c r="S83" s="529">
        <f t="shared" si="146"/>
        <v>0</v>
      </c>
      <c r="T83" s="529">
        <f t="shared" si="147"/>
        <v>0</v>
      </c>
      <c r="U83" s="529">
        <f t="shared" si="148"/>
        <v>0</v>
      </c>
      <c r="V83" s="529">
        <f t="shared" si="134"/>
        <v>0</v>
      </c>
      <c r="W83" s="529">
        <f t="shared" si="149"/>
        <v>0</v>
      </c>
      <c r="X83" s="291">
        <f t="shared" si="150"/>
        <v>0</v>
      </c>
      <c r="Y83" s="291">
        <f t="shared" si="151"/>
        <v>0</v>
      </c>
      <c r="Z83" s="536">
        <f t="shared" si="152"/>
        <v>0</v>
      </c>
      <c r="AA83" s="304">
        <f>VLOOKUP(O83,'B.0.ConsumiblesMaquinaria'!C$7:D$16,2)</f>
        <v>4.7E-2</v>
      </c>
      <c r="AB83" s="301">
        <f t="shared" si="153"/>
        <v>0</v>
      </c>
      <c r="AC83" s="301">
        <f>+'B.0.ConsumiblesMaquinaria'!J$24</f>
        <v>9.879999999999999</v>
      </c>
      <c r="AD83" s="301">
        <f t="shared" si="154"/>
        <v>2.3199999999999998</v>
      </c>
      <c r="AE83" s="300">
        <f>4.5*AE$106</f>
        <v>3.6</v>
      </c>
      <c r="AF83" s="300">
        <f t="shared" si="137"/>
        <v>0</v>
      </c>
      <c r="AG83" s="301">
        <f>+'B.0.ConsumiblesMaquinaria'!J$22</f>
        <v>1.7</v>
      </c>
      <c r="AH83" s="301">
        <f t="shared" si="138"/>
        <v>0</v>
      </c>
      <c r="AI83" s="301">
        <f t="shared" si="155"/>
        <v>2.3199999999999998</v>
      </c>
      <c r="AJ83" s="300">
        <f t="shared" si="156"/>
        <v>0</v>
      </c>
      <c r="AK83" s="304">
        <f t="shared" si="139"/>
        <v>0</v>
      </c>
      <c r="AL83" s="322">
        <f t="shared" si="157"/>
        <v>0</v>
      </c>
      <c r="AM83" s="301">
        <f t="shared" si="158"/>
        <v>0</v>
      </c>
      <c r="AN83" s="302">
        <v>20</v>
      </c>
      <c r="AO83" s="300">
        <f t="shared" si="159"/>
        <v>0</v>
      </c>
      <c r="AP83" s="303">
        <f t="shared" si="160"/>
        <v>0</v>
      </c>
      <c r="AQ83" s="335">
        <f t="shared" si="161"/>
        <v>0</v>
      </c>
    </row>
    <row r="84" spans="1:43">
      <c r="A84" s="307">
        <v>0</v>
      </c>
      <c r="B84" s="298" t="s">
        <v>511</v>
      </c>
      <c r="C84" s="299" t="s">
        <v>399</v>
      </c>
      <c r="D84" s="299" t="s">
        <v>369</v>
      </c>
      <c r="E84" s="529">
        <v>14000</v>
      </c>
      <c r="F84" s="525">
        <f t="shared" si="140"/>
        <v>1</v>
      </c>
      <c r="G84" s="529">
        <f t="shared" si="141"/>
        <v>14000</v>
      </c>
      <c r="H84" s="529">
        <f>15*22</f>
        <v>330</v>
      </c>
      <c r="I84" s="300">
        <f>22*8*AR$1</f>
        <v>880</v>
      </c>
      <c r="J84" s="300">
        <v>4</v>
      </c>
      <c r="K84" s="301"/>
      <c r="L84" s="302">
        <f t="shared" si="142"/>
        <v>2025</v>
      </c>
      <c r="M84" s="302">
        <f t="shared" si="142"/>
        <v>2033</v>
      </c>
      <c r="N84" s="302">
        <f t="shared" si="142"/>
        <v>8</v>
      </c>
      <c r="O84" s="300">
        <v>14</v>
      </c>
      <c r="P84" s="529">
        <f t="shared" si="143"/>
        <v>0</v>
      </c>
      <c r="Q84" s="529">
        <f t="shared" si="144"/>
        <v>0</v>
      </c>
      <c r="R84" s="529">
        <f t="shared" si="145"/>
        <v>0</v>
      </c>
      <c r="S84" s="529">
        <f t="shared" si="146"/>
        <v>0</v>
      </c>
      <c r="T84" s="529">
        <f t="shared" si="147"/>
        <v>0</v>
      </c>
      <c r="U84" s="529">
        <f t="shared" si="148"/>
        <v>0</v>
      </c>
      <c r="V84" s="529">
        <f t="shared" si="134"/>
        <v>0</v>
      </c>
      <c r="W84" s="529">
        <f t="shared" si="149"/>
        <v>0</v>
      </c>
      <c r="X84" s="291">
        <f t="shared" si="150"/>
        <v>0</v>
      </c>
      <c r="Y84" s="291">
        <f t="shared" si="151"/>
        <v>0</v>
      </c>
      <c r="Z84" s="536">
        <f t="shared" si="152"/>
        <v>0</v>
      </c>
      <c r="AA84" s="304">
        <f>VLOOKUP(O84,'B.0.ConsumiblesMaquinaria'!C$7:D$16,2)</f>
        <v>3.5000000000000003E-2</v>
      </c>
      <c r="AB84" s="301">
        <f t="shared" si="153"/>
        <v>0</v>
      </c>
      <c r="AC84" s="301">
        <f>+'B.0.ConsumiblesMaquinaria'!J$24</f>
        <v>9.879999999999999</v>
      </c>
      <c r="AD84" s="301">
        <f t="shared" si="154"/>
        <v>1.73</v>
      </c>
      <c r="AE84" s="300">
        <f>1.5*AE$106</f>
        <v>1.2000000000000002</v>
      </c>
      <c r="AF84" s="300">
        <f t="shared" si="137"/>
        <v>0</v>
      </c>
      <c r="AG84" s="301">
        <f>+'B.0.ConsumiblesMaquinaria'!J$22</f>
        <v>1.7</v>
      </c>
      <c r="AH84" s="301">
        <f t="shared" si="138"/>
        <v>0</v>
      </c>
      <c r="AI84" s="301">
        <f t="shared" si="155"/>
        <v>1.73</v>
      </c>
      <c r="AJ84" s="300">
        <f t="shared" si="156"/>
        <v>0</v>
      </c>
      <c r="AK84" s="304">
        <f t="shared" si="139"/>
        <v>0</v>
      </c>
      <c r="AL84" s="322">
        <f t="shared" si="157"/>
        <v>0</v>
      </c>
      <c r="AM84" s="301">
        <f t="shared" si="158"/>
        <v>0</v>
      </c>
      <c r="AN84" s="302">
        <v>80</v>
      </c>
      <c r="AO84" s="300">
        <f t="shared" si="159"/>
        <v>0</v>
      </c>
      <c r="AP84" s="303">
        <f t="shared" si="160"/>
        <v>0</v>
      </c>
      <c r="AQ84" s="335">
        <f t="shared" si="161"/>
        <v>0</v>
      </c>
    </row>
    <row r="85" spans="1:43">
      <c r="A85" s="307">
        <v>0</v>
      </c>
      <c r="B85" s="298" t="s">
        <v>512</v>
      </c>
      <c r="C85" s="299" t="s">
        <v>399</v>
      </c>
      <c r="D85" s="299" t="s">
        <v>513</v>
      </c>
      <c r="E85" s="529">
        <v>2375</v>
      </c>
      <c r="F85" s="525">
        <f t="shared" si="140"/>
        <v>1</v>
      </c>
      <c r="G85" s="529">
        <f t="shared" si="141"/>
        <v>2375</v>
      </c>
      <c r="H85" s="529">
        <f>8*22</f>
        <v>176</v>
      </c>
      <c r="I85" s="300">
        <f>22*3*AR$1</f>
        <v>330</v>
      </c>
      <c r="J85" s="300">
        <v>4</v>
      </c>
      <c r="K85" s="301"/>
      <c r="L85" s="302">
        <f t="shared" si="142"/>
        <v>2025</v>
      </c>
      <c r="M85" s="302">
        <f t="shared" si="142"/>
        <v>2033</v>
      </c>
      <c r="N85" s="302">
        <f t="shared" si="142"/>
        <v>8</v>
      </c>
      <c r="O85" s="300">
        <v>2</v>
      </c>
      <c r="P85" s="529">
        <f t="shared" si="143"/>
        <v>0</v>
      </c>
      <c r="Q85" s="529">
        <f t="shared" si="144"/>
        <v>0</v>
      </c>
      <c r="R85" s="529">
        <f t="shared" si="145"/>
        <v>0</v>
      </c>
      <c r="S85" s="529">
        <f t="shared" si="146"/>
        <v>0</v>
      </c>
      <c r="T85" s="529">
        <f t="shared" si="147"/>
        <v>0</v>
      </c>
      <c r="U85" s="529">
        <f t="shared" si="148"/>
        <v>0</v>
      </c>
      <c r="V85" s="529">
        <f t="shared" si="134"/>
        <v>0</v>
      </c>
      <c r="W85" s="529">
        <f t="shared" si="149"/>
        <v>0</v>
      </c>
      <c r="X85" s="291">
        <f t="shared" si="150"/>
        <v>0</v>
      </c>
      <c r="Y85" s="291">
        <f t="shared" si="151"/>
        <v>0</v>
      </c>
      <c r="Z85" s="536">
        <f t="shared" si="152"/>
        <v>0</v>
      </c>
      <c r="AA85" s="304">
        <f>VLOOKUP(O85,'B.0.ConsumiblesMaquinaria'!C$7:D$16,2)</f>
        <v>3.5000000000000003E-2</v>
      </c>
      <c r="AB85" s="300">
        <f t="shared" si="153"/>
        <v>0</v>
      </c>
      <c r="AC85" s="301">
        <f>+'B.0.ConsumiblesMaquinaria'!J$24</f>
        <v>9.879999999999999</v>
      </c>
      <c r="AD85" s="300">
        <f>+ROUND(AA85*AR$1*AC85,2)</f>
        <v>1.73</v>
      </c>
      <c r="AE85" s="300">
        <f>0*AE$106</f>
        <v>0</v>
      </c>
      <c r="AF85" s="300">
        <f t="shared" si="137"/>
        <v>0</v>
      </c>
      <c r="AG85" s="301">
        <f>+'B.0.ConsumiblesMaquinaria'!J$22</f>
        <v>1.7</v>
      </c>
      <c r="AH85" s="301">
        <f t="shared" si="138"/>
        <v>0</v>
      </c>
      <c r="AI85" s="301">
        <f t="shared" si="155"/>
        <v>1.73</v>
      </c>
      <c r="AJ85" s="300">
        <f t="shared" si="156"/>
        <v>0</v>
      </c>
      <c r="AK85" s="304">
        <f t="shared" si="139"/>
        <v>0</v>
      </c>
      <c r="AL85" s="322">
        <f t="shared" si="157"/>
        <v>0</v>
      </c>
      <c r="AM85" s="301">
        <f t="shared" si="158"/>
        <v>0</v>
      </c>
      <c r="AN85" s="302">
        <v>80</v>
      </c>
      <c r="AO85" s="300">
        <f t="shared" si="159"/>
        <v>0</v>
      </c>
      <c r="AP85" s="303">
        <f t="shared" si="160"/>
        <v>0</v>
      </c>
      <c r="AQ85" s="335">
        <f t="shared" si="161"/>
        <v>0</v>
      </c>
    </row>
    <row r="86" spans="1:43">
      <c r="A86" s="307">
        <v>0</v>
      </c>
      <c r="B86" s="298" t="s">
        <v>514</v>
      </c>
      <c r="C86" s="299" t="s">
        <v>399</v>
      </c>
      <c r="D86" s="299" t="s">
        <v>515</v>
      </c>
      <c r="E86" s="529">
        <v>2305</v>
      </c>
      <c r="F86" s="525">
        <f t="shared" si="140"/>
        <v>1</v>
      </c>
      <c r="G86" s="529">
        <f t="shared" si="141"/>
        <v>2305</v>
      </c>
      <c r="H86" s="529"/>
      <c r="I86" s="300">
        <f>22*3*AR$1</f>
        <v>330</v>
      </c>
      <c r="J86" s="300">
        <v>4</v>
      </c>
      <c r="K86" s="301"/>
      <c r="L86" s="302">
        <f t="shared" si="142"/>
        <v>2025</v>
      </c>
      <c r="M86" s="302">
        <f t="shared" si="142"/>
        <v>2033</v>
      </c>
      <c r="N86" s="302">
        <f t="shared" si="142"/>
        <v>8</v>
      </c>
      <c r="O86" s="300">
        <v>1</v>
      </c>
      <c r="P86" s="529">
        <f t="shared" si="143"/>
        <v>0</v>
      </c>
      <c r="Q86" s="529">
        <f t="shared" si="144"/>
        <v>0</v>
      </c>
      <c r="R86" s="529">
        <f t="shared" si="145"/>
        <v>0</v>
      </c>
      <c r="S86" s="529">
        <f t="shared" si="146"/>
        <v>0</v>
      </c>
      <c r="T86" s="529">
        <f t="shared" si="147"/>
        <v>0</v>
      </c>
      <c r="U86" s="529">
        <f t="shared" si="148"/>
        <v>0</v>
      </c>
      <c r="V86" s="529">
        <f t="shared" si="134"/>
        <v>0</v>
      </c>
      <c r="W86" s="529">
        <f t="shared" si="149"/>
        <v>0</v>
      </c>
      <c r="X86" s="291">
        <f t="shared" si="150"/>
        <v>0</v>
      </c>
      <c r="Y86" s="291">
        <f t="shared" si="151"/>
        <v>0</v>
      </c>
      <c r="Z86" s="536">
        <f t="shared" si="152"/>
        <v>0</v>
      </c>
      <c r="AA86" s="304">
        <f>VLOOKUP(O86,'B.0.ConsumiblesMaquinaria'!C$7:D$16,2)</f>
        <v>3.5000000000000003E-2</v>
      </c>
      <c r="AB86" s="300">
        <f t="shared" si="153"/>
        <v>0</v>
      </c>
      <c r="AC86" s="301">
        <f>+'B.0.ConsumiblesMaquinaria'!J$24</f>
        <v>9.879999999999999</v>
      </c>
      <c r="AD86" s="300">
        <f>+ROUND(AA86*AR$1*AC86,2)</f>
        <v>1.73</v>
      </c>
      <c r="AE86" s="300">
        <f>1*AE$106</f>
        <v>0.8</v>
      </c>
      <c r="AF86" s="300">
        <f t="shared" si="137"/>
        <v>0</v>
      </c>
      <c r="AG86" s="301">
        <f>+'B.0.ConsumiblesMaquinaria'!J$22</f>
        <v>1.7</v>
      </c>
      <c r="AH86" s="301">
        <f t="shared" si="138"/>
        <v>0</v>
      </c>
      <c r="AI86" s="301">
        <f t="shared" si="155"/>
        <v>1.73</v>
      </c>
      <c r="AJ86" s="300">
        <f t="shared" si="156"/>
        <v>0</v>
      </c>
      <c r="AK86" s="304">
        <f t="shared" si="139"/>
        <v>0</v>
      </c>
      <c r="AL86" s="322">
        <f t="shared" si="157"/>
        <v>0</v>
      </c>
      <c r="AM86" s="301">
        <f t="shared" si="158"/>
        <v>0</v>
      </c>
      <c r="AN86" s="302">
        <v>80</v>
      </c>
      <c r="AO86" s="300">
        <f t="shared" si="159"/>
        <v>0</v>
      </c>
      <c r="AP86" s="303">
        <f t="shared" si="160"/>
        <v>0</v>
      </c>
      <c r="AQ86" s="335">
        <f t="shared" si="161"/>
        <v>0</v>
      </c>
    </row>
    <row r="87" spans="1:43">
      <c r="A87" s="307">
        <v>0</v>
      </c>
      <c r="B87" s="298" t="s">
        <v>516</v>
      </c>
      <c r="C87" s="299" t="s">
        <v>399</v>
      </c>
      <c r="D87" s="299" t="s">
        <v>517</v>
      </c>
      <c r="E87" s="529">
        <v>18875</v>
      </c>
      <c r="F87" s="525">
        <f t="shared" si="140"/>
        <v>1</v>
      </c>
      <c r="G87" s="529">
        <f t="shared" si="141"/>
        <v>18875</v>
      </c>
      <c r="H87" s="529"/>
      <c r="I87" s="300">
        <f>22*3*AR$1</f>
        <v>330</v>
      </c>
      <c r="J87" s="300">
        <v>4</v>
      </c>
      <c r="K87" s="301"/>
      <c r="L87" s="302">
        <f t="shared" si="142"/>
        <v>2025</v>
      </c>
      <c r="M87" s="302">
        <f t="shared" si="142"/>
        <v>2033</v>
      </c>
      <c r="N87" s="302">
        <f t="shared" si="142"/>
        <v>8</v>
      </c>
      <c r="O87" s="300">
        <v>15</v>
      </c>
      <c r="P87" s="529">
        <f t="shared" si="143"/>
        <v>0</v>
      </c>
      <c r="Q87" s="529">
        <f t="shared" si="144"/>
        <v>0</v>
      </c>
      <c r="R87" s="529">
        <f t="shared" si="145"/>
        <v>0</v>
      </c>
      <c r="S87" s="529">
        <f t="shared" si="146"/>
        <v>0</v>
      </c>
      <c r="T87" s="529">
        <f t="shared" si="147"/>
        <v>0</v>
      </c>
      <c r="U87" s="529">
        <f t="shared" si="148"/>
        <v>0</v>
      </c>
      <c r="V87" s="529">
        <f t="shared" si="134"/>
        <v>0</v>
      </c>
      <c r="W87" s="529">
        <f t="shared" si="149"/>
        <v>0</v>
      </c>
      <c r="X87" s="291">
        <f t="shared" si="150"/>
        <v>0</v>
      </c>
      <c r="Y87" s="291">
        <f t="shared" si="151"/>
        <v>0</v>
      </c>
      <c r="Z87" s="536">
        <f t="shared" si="152"/>
        <v>0</v>
      </c>
      <c r="AA87" s="304">
        <f>VLOOKUP(O87,'B.0.ConsumiblesMaquinaria'!C$7:D$16,2)</f>
        <v>3.5000000000000003E-2</v>
      </c>
      <c r="AB87" s="301">
        <f t="shared" si="153"/>
        <v>0</v>
      </c>
      <c r="AC87" s="301">
        <f>+'B.0.ConsumiblesMaquinaria'!J$24</f>
        <v>9.879999999999999</v>
      </c>
      <c r="AD87" s="301">
        <f t="shared" si="154"/>
        <v>1.73</v>
      </c>
      <c r="AE87" s="300">
        <f>1.5*AE$106</f>
        <v>1.2000000000000002</v>
      </c>
      <c r="AF87" s="300">
        <f t="shared" si="137"/>
        <v>0</v>
      </c>
      <c r="AG87" s="301">
        <f>+'B.0.ConsumiblesMaquinaria'!J$22</f>
        <v>1.7</v>
      </c>
      <c r="AH87" s="301">
        <f t="shared" si="138"/>
        <v>0</v>
      </c>
      <c r="AI87" s="301">
        <f t="shared" si="155"/>
        <v>1.73</v>
      </c>
      <c r="AJ87" s="300">
        <f t="shared" si="156"/>
        <v>0</v>
      </c>
      <c r="AK87" s="304">
        <f t="shared" si="139"/>
        <v>0</v>
      </c>
      <c r="AL87" s="322">
        <f t="shared" si="157"/>
        <v>0</v>
      </c>
      <c r="AM87" s="301">
        <f t="shared" si="158"/>
        <v>0</v>
      </c>
      <c r="AN87" s="302">
        <v>80</v>
      </c>
      <c r="AO87" s="300">
        <f t="shared" si="159"/>
        <v>0</v>
      </c>
      <c r="AP87" s="303">
        <f t="shared" si="160"/>
        <v>0</v>
      </c>
      <c r="AQ87" s="335">
        <f t="shared" si="161"/>
        <v>0</v>
      </c>
    </row>
    <row r="88" spans="1:43">
      <c r="A88" s="307">
        <v>0</v>
      </c>
      <c r="B88" s="298" t="s">
        <v>518</v>
      </c>
      <c r="C88" s="299" t="s">
        <v>399</v>
      </c>
      <c r="D88" s="299" t="s">
        <v>369</v>
      </c>
      <c r="E88" s="529">
        <v>18750</v>
      </c>
      <c r="F88" s="525">
        <f t="shared" si="140"/>
        <v>1</v>
      </c>
      <c r="G88" s="529">
        <f t="shared" si="141"/>
        <v>18750</v>
      </c>
      <c r="H88" s="529">
        <v>88</v>
      </c>
      <c r="I88" s="300">
        <f>22*3*AR$1</f>
        <v>330</v>
      </c>
      <c r="J88" s="300">
        <v>4</v>
      </c>
      <c r="K88" s="301"/>
      <c r="L88" s="302">
        <f t="shared" si="142"/>
        <v>2025</v>
      </c>
      <c r="M88" s="302">
        <f t="shared" si="142"/>
        <v>2033</v>
      </c>
      <c r="N88" s="302">
        <f t="shared" si="142"/>
        <v>8</v>
      </c>
      <c r="O88" s="300">
        <v>25</v>
      </c>
      <c r="P88" s="529">
        <f t="shared" si="143"/>
        <v>0</v>
      </c>
      <c r="Q88" s="529">
        <f t="shared" si="144"/>
        <v>0</v>
      </c>
      <c r="R88" s="529">
        <f t="shared" si="145"/>
        <v>0</v>
      </c>
      <c r="S88" s="529">
        <f t="shared" si="146"/>
        <v>0</v>
      </c>
      <c r="T88" s="529">
        <f t="shared" si="147"/>
        <v>0</v>
      </c>
      <c r="U88" s="529">
        <f t="shared" si="148"/>
        <v>0</v>
      </c>
      <c r="V88" s="529">
        <f t="shared" si="134"/>
        <v>0</v>
      </c>
      <c r="W88" s="529">
        <f t="shared" si="149"/>
        <v>0</v>
      </c>
      <c r="X88" s="291">
        <f t="shared" si="150"/>
        <v>0</v>
      </c>
      <c r="Y88" s="291">
        <f t="shared" si="151"/>
        <v>0</v>
      </c>
      <c r="Z88" s="536">
        <f t="shared" si="152"/>
        <v>0</v>
      </c>
      <c r="AA88" s="304">
        <f>VLOOKUP(O88,'B.0.ConsumiblesMaquinaria'!C$7:D$16,2)</f>
        <v>3.9E-2</v>
      </c>
      <c r="AB88" s="300">
        <f t="shared" si="153"/>
        <v>0</v>
      </c>
      <c r="AC88" s="301">
        <f>+'B.0.ConsumiblesMaquinaria'!J$24</f>
        <v>9.879999999999999</v>
      </c>
      <c r="AD88" s="300">
        <f t="shared" si="154"/>
        <v>1.93</v>
      </c>
      <c r="AE88" s="300">
        <f>2*AE$106</f>
        <v>1.6</v>
      </c>
      <c r="AF88" s="300">
        <f t="shared" si="137"/>
        <v>0</v>
      </c>
      <c r="AG88" s="301">
        <f>+'B.0.ConsumiblesMaquinaria'!J$22</f>
        <v>1.7</v>
      </c>
      <c r="AH88" s="301">
        <f t="shared" si="138"/>
        <v>0</v>
      </c>
      <c r="AI88" s="301">
        <f t="shared" si="155"/>
        <v>1.93</v>
      </c>
      <c r="AJ88" s="300">
        <f t="shared" si="156"/>
        <v>0</v>
      </c>
      <c r="AK88" s="304">
        <f t="shared" si="139"/>
        <v>0</v>
      </c>
      <c r="AL88" s="322">
        <f t="shared" si="157"/>
        <v>0</v>
      </c>
      <c r="AM88" s="301">
        <f t="shared" si="158"/>
        <v>0</v>
      </c>
      <c r="AN88" s="302">
        <v>80</v>
      </c>
      <c r="AO88" s="300">
        <f t="shared" si="159"/>
        <v>0</v>
      </c>
      <c r="AP88" s="303">
        <f t="shared" si="160"/>
        <v>0</v>
      </c>
      <c r="AQ88" s="335">
        <f t="shared" si="161"/>
        <v>0</v>
      </c>
    </row>
    <row r="89" spans="1:43">
      <c r="A89" s="307">
        <v>0</v>
      </c>
      <c r="B89" s="298" t="s">
        <v>519</v>
      </c>
      <c r="C89" s="299" t="s">
        <v>341</v>
      </c>
      <c r="D89" s="299" t="s">
        <v>369</v>
      </c>
      <c r="E89" s="529">
        <v>125</v>
      </c>
      <c r="F89" s="525">
        <f t="shared" si="140"/>
        <v>1</v>
      </c>
      <c r="G89" s="529">
        <f t="shared" si="141"/>
        <v>125</v>
      </c>
      <c r="H89" s="529"/>
      <c r="I89" s="300">
        <f>22*8*AR$1</f>
        <v>880</v>
      </c>
      <c r="J89" s="300">
        <v>4</v>
      </c>
      <c r="K89" s="301"/>
      <c r="L89" s="302">
        <f t="shared" si="142"/>
        <v>2025</v>
      </c>
      <c r="M89" s="302">
        <f t="shared" si="142"/>
        <v>2033</v>
      </c>
      <c r="N89" s="302">
        <f t="shared" si="142"/>
        <v>8</v>
      </c>
      <c r="O89" s="300">
        <v>6</v>
      </c>
      <c r="P89" s="529">
        <f t="shared" si="143"/>
        <v>0</v>
      </c>
      <c r="Q89" s="529">
        <f t="shared" si="144"/>
        <v>0</v>
      </c>
      <c r="R89" s="529">
        <f t="shared" si="145"/>
        <v>0</v>
      </c>
      <c r="S89" s="529">
        <f t="shared" si="146"/>
        <v>0</v>
      </c>
      <c r="T89" s="529">
        <f t="shared" si="147"/>
        <v>0</v>
      </c>
      <c r="U89" s="529">
        <f t="shared" si="148"/>
        <v>0</v>
      </c>
      <c r="V89" s="529">
        <f t="shared" si="134"/>
        <v>0</v>
      </c>
      <c r="W89" s="529">
        <f t="shared" si="149"/>
        <v>0</v>
      </c>
      <c r="X89" s="291">
        <f t="shared" si="150"/>
        <v>0</v>
      </c>
      <c r="Y89" s="291">
        <f t="shared" si="151"/>
        <v>0</v>
      </c>
      <c r="Z89" s="536">
        <f t="shared" si="152"/>
        <v>0</v>
      </c>
      <c r="AA89" s="300">
        <v>0</v>
      </c>
      <c r="AB89" s="300">
        <f t="shared" si="153"/>
        <v>0</v>
      </c>
      <c r="AC89" s="300">
        <v>0</v>
      </c>
      <c r="AD89" s="300">
        <f t="shared" si="154"/>
        <v>0</v>
      </c>
      <c r="AE89" s="300">
        <f>0*AE$106</f>
        <v>0</v>
      </c>
      <c r="AF89" s="300">
        <f t="shared" si="137"/>
        <v>0</v>
      </c>
      <c r="AG89" s="301">
        <v>0</v>
      </c>
      <c r="AH89" s="301">
        <f t="shared" si="138"/>
        <v>0</v>
      </c>
      <c r="AI89" s="301">
        <f t="shared" si="155"/>
        <v>0</v>
      </c>
      <c r="AJ89" s="300">
        <f t="shared" si="156"/>
        <v>0</v>
      </c>
      <c r="AK89" s="304">
        <f t="shared" si="139"/>
        <v>0</v>
      </c>
      <c r="AL89" s="322">
        <f t="shared" si="157"/>
        <v>0</v>
      </c>
      <c r="AM89" s="301">
        <f t="shared" si="158"/>
        <v>0</v>
      </c>
      <c r="AN89" s="302">
        <v>80</v>
      </c>
      <c r="AO89" s="300">
        <f t="shared" si="159"/>
        <v>0</v>
      </c>
      <c r="AP89" s="303">
        <f t="shared" si="160"/>
        <v>0</v>
      </c>
      <c r="AQ89" s="335">
        <f t="shared" si="161"/>
        <v>0</v>
      </c>
    </row>
    <row r="90" spans="1:43">
      <c r="A90" s="307">
        <v>0</v>
      </c>
      <c r="B90" s="298" t="s">
        <v>520</v>
      </c>
      <c r="C90" s="299" t="s">
        <v>341</v>
      </c>
      <c r="D90" s="299" t="s">
        <v>521</v>
      </c>
      <c r="E90" s="529">
        <v>750</v>
      </c>
      <c r="F90" s="525">
        <f t="shared" si="140"/>
        <v>1</v>
      </c>
      <c r="G90" s="529">
        <f t="shared" si="141"/>
        <v>750</v>
      </c>
      <c r="H90" s="529"/>
      <c r="I90" s="300">
        <f t="shared" ref="I90:I98" si="162">22*3*AR$1</f>
        <v>330</v>
      </c>
      <c r="J90" s="300">
        <v>4</v>
      </c>
      <c r="K90" s="301"/>
      <c r="L90" s="302">
        <f t="shared" si="142"/>
        <v>2025</v>
      </c>
      <c r="M90" s="302">
        <f t="shared" si="142"/>
        <v>2033</v>
      </c>
      <c r="N90" s="302">
        <f t="shared" si="142"/>
        <v>8</v>
      </c>
      <c r="O90" s="300">
        <v>2</v>
      </c>
      <c r="P90" s="529">
        <f t="shared" si="143"/>
        <v>0</v>
      </c>
      <c r="Q90" s="529">
        <f t="shared" si="144"/>
        <v>0</v>
      </c>
      <c r="R90" s="529">
        <f t="shared" si="145"/>
        <v>0</v>
      </c>
      <c r="S90" s="529">
        <f t="shared" si="146"/>
        <v>0</v>
      </c>
      <c r="T90" s="529">
        <f t="shared" si="147"/>
        <v>0</v>
      </c>
      <c r="U90" s="529">
        <f t="shared" si="148"/>
        <v>0</v>
      </c>
      <c r="V90" s="529">
        <f t="shared" si="134"/>
        <v>0</v>
      </c>
      <c r="W90" s="529">
        <f t="shared" si="149"/>
        <v>0</v>
      </c>
      <c r="X90" s="291">
        <f t="shared" si="150"/>
        <v>0</v>
      </c>
      <c r="Y90" s="291">
        <f t="shared" si="151"/>
        <v>0</v>
      </c>
      <c r="Z90" s="536">
        <f t="shared" si="152"/>
        <v>0</v>
      </c>
      <c r="AA90" s="300">
        <v>0</v>
      </c>
      <c r="AB90" s="300">
        <f t="shared" si="153"/>
        <v>0</v>
      </c>
      <c r="AC90" s="300">
        <v>0</v>
      </c>
      <c r="AD90" s="300">
        <f t="shared" si="154"/>
        <v>0</v>
      </c>
      <c r="AE90" s="300">
        <f>0*AE$106</f>
        <v>0</v>
      </c>
      <c r="AF90" s="300">
        <f t="shared" si="137"/>
        <v>0</v>
      </c>
      <c r="AG90" s="301">
        <v>0</v>
      </c>
      <c r="AH90" s="301">
        <f t="shared" si="138"/>
        <v>0</v>
      </c>
      <c r="AI90" s="301">
        <f t="shared" si="155"/>
        <v>0</v>
      </c>
      <c r="AJ90" s="300">
        <f t="shared" si="156"/>
        <v>0</v>
      </c>
      <c r="AK90" s="304">
        <f t="shared" si="139"/>
        <v>0</v>
      </c>
      <c r="AL90" s="322">
        <f t="shared" si="157"/>
        <v>0</v>
      </c>
      <c r="AM90" s="301">
        <f t="shared" si="158"/>
        <v>0</v>
      </c>
      <c r="AN90" s="302">
        <v>80</v>
      </c>
      <c r="AO90" s="300">
        <f t="shared" si="159"/>
        <v>0</v>
      </c>
      <c r="AP90" s="303">
        <f t="shared" si="160"/>
        <v>0</v>
      </c>
      <c r="AQ90" s="335">
        <f t="shared" si="161"/>
        <v>0</v>
      </c>
    </row>
    <row r="91" spans="1:43">
      <c r="A91" s="307">
        <v>0</v>
      </c>
      <c r="B91" s="298" t="s">
        <v>522</v>
      </c>
      <c r="C91" s="299" t="s">
        <v>399</v>
      </c>
      <c r="D91" s="299" t="s">
        <v>523</v>
      </c>
      <c r="E91" s="529">
        <v>6000</v>
      </c>
      <c r="F91" s="525">
        <f t="shared" si="140"/>
        <v>1</v>
      </c>
      <c r="G91" s="529">
        <f t="shared" si="141"/>
        <v>6000</v>
      </c>
      <c r="H91" s="529"/>
      <c r="I91" s="300">
        <f t="shared" si="162"/>
        <v>330</v>
      </c>
      <c r="J91" s="300">
        <v>4</v>
      </c>
      <c r="K91" s="301"/>
      <c r="L91" s="302">
        <f t="shared" si="142"/>
        <v>2025</v>
      </c>
      <c r="M91" s="302">
        <f t="shared" si="142"/>
        <v>2033</v>
      </c>
      <c r="N91" s="302">
        <f t="shared" si="142"/>
        <v>8</v>
      </c>
      <c r="O91" s="300">
        <v>11</v>
      </c>
      <c r="P91" s="529">
        <f t="shared" si="143"/>
        <v>0</v>
      </c>
      <c r="Q91" s="529">
        <f t="shared" si="144"/>
        <v>0</v>
      </c>
      <c r="R91" s="529">
        <f t="shared" si="145"/>
        <v>0</v>
      </c>
      <c r="S91" s="529">
        <f t="shared" si="146"/>
        <v>0</v>
      </c>
      <c r="T91" s="529">
        <f t="shared" si="147"/>
        <v>0</v>
      </c>
      <c r="U91" s="529">
        <f t="shared" si="148"/>
        <v>0</v>
      </c>
      <c r="V91" s="529">
        <f t="shared" si="134"/>
        <v>0</v>
      </c>
      <c r="W91" s="529">
        <f t="shared" si="149"/>
        <v>0</v>
      </c>
      <c r="X91" s="291">
        <f t="shared" si="150"/>
        <v>0</v>
      </c>
      <c r="Y91" s="291">
        <f t="shared" si="151"/>
        <v>0</v>
      </c>
      <c r="Z91" s="536">
        <f t="shared" si="152"/>
        <v>0</v>
      </c>
      <c r="AA91" s="304">
        <f>VLOOKUP(O91,'B.0.ConsumiblesMaquinaria'!C$7:D$16,2)</f>
        <v>3.5000000000000003E-2</v>
      </c>
      <c r="AB91" s="300">
        <f t="shared" si="153"/>
        <v>0</v>
      </c>
      <c r="AC91" s="301">
        <f>+'B.0.ConsumiblesMaquinaria'!J$24</f>
        <v>9.879999999999999</v>
      </c>
      <c r="AD91" s="300">
        <f t="shared" si="154"/>
        <v>1.73</v>
      </c>
      <c r="AE91" s="300">
        <f>1*AE$106</f>
        <v>0.8</v>
      </c>
      <c r="AF91" s="300">
        <f t="shared" si="137"/>
        <v>0</v>
      </c>
      <c r="AG91" s="301">
        <f>+'B.0.ConsumiblesMaquinaria'!J$22</f>
        <v>1.7</v>
      </c>
      <c r="AH91" s="301">
        <f t="shared" si="138"/>
        <v>0</v>
      </c>
      <c r="AI91" s="301">
        <f t="shared" si="155"/>
        <v>1.73</v>
      </c>
      <c r="AJ91" s="300">
        <f t="shared" si="156"/>
        <v>0</v>
      </c>
      <c r="AK91" s="304">
        <f t="shared" si="139"/>
        <v>0</v>
      </c>
      <c r="AL91" s="322">
        <f t="shared" si="157"/>
        <v>0</v>
      </c>
      <c r="AM91" s="301">
        <f t="shared" si="158"/>
        <v>0</v>
      </c>
      <c r="AN91" s="302">
        <v>80</v>
      </c>
      <c r="AO91" s="300">
        <f t="shared" si="159"/>
        <v>0</v>
      </c>
      <c r="AP91" s="303">
        <f t="shared" si="160"/>
        <v>0</v>
      </c>
      <c r="AQ91" s="335">
        <f t="shared" si="161"/>
        <v>0</v>
      </c>
    </row>
    <row r="92" spans="1:43">
      <c r="A92" s="307">
        <v>0</v>
      </c>
      <c r="B92" s="298" t="s">
        <v>524</v>
      </c>
      <c r="C92" s="299" t="s">
        <v>399</v>
      </c>
      <c r="D92" s="299" t="s">
        <v>525</v>
      </c>
      <c r="E92" s="529">
        <v>5625</v>
      </c>
      <c r="F92" s="525">
        <f t="shared" si="140"/>
        <v>1</v>
      </c>
      <c r="G92" s="529">
        <f t="shared" si="141"/>
        <v>5625</v>
      </c>
      <c r="H92" s="529">
        <f>15*22</f>
        <v>330</v>
      </c>
      <c r="I92" s="300">
        <f t="shared" si="162"/>
        <v>330</v>
      </c>
      <c r="J92" s="300">
        <v>4</v>
      </c>
      <c r="K92" s="301"/>
      <c r="L92" s="302">
        <f t="shared" si="142"/>
        <v>2025</v>
      </c>
      <c r="M92" s="302">
        <f t="shared" si="142"/>
        <v>2033</v>
      </c>
      <c r="N92" s="302">
        <f t="shared" si="142"/>
        <v>8</v>
      </c>
      <c r="O92" s="300">
        <v>15</v>
      </c>
      <c r="P92" s="529">
        <f t="shared" si="143"/>
        <v>0</v>
      </c>
      <c r="Q92" s="529">
        <f t="shared" si="144"/>
        <v>0</v>
      </c>
      <c r="R92" s="529">
        <f t="shared" si="145"/>
        <v>0</v>
      </c>
      <c r="S92" s="529">
        <f t="shared" si="146"/>
        <v>0</v>
      </c>
      <c r="T92" s="529">
        <f t="shared" si="147"/>
        <v>0</v>
      </c>
      <c r="U92" s="529">
        <f t="shared" si="148"/>
        <v>0</v>
      </c>
      <c r="V92" s="529">
        <f t="shared" si="134"/>
        <v>0</v>
      </c>
      <c r="W92" s="529">
        <f t="shared" si="149"/>
        <v>0</v>
      </c>
      <c r="X92" s="291">
        <f t="shared" si="150"/>
        <v>0</v>
      </c>
      <c r="Y92" s="291">
        <f t="shared" si="151"/>
        <v>0</v>
      </c>
      <c r="Z92" s="536">
        <f t="shared" si="152"/>
        <v>0</v>
      </c>
      <c r="AA92" s="304">
        <f>VLOOKUP(O92,'B.0.ConsumiblesMaquinaria'!C$7:D$16,2)</f>
        <v>3.5000000000000003E-2</v>
      </c>
      <c r="AB92" s="300">
        <f t="shared" si="153"/>
        <v>0</v>
      </c>
      <c r="AC92" s="301">
        <f>+'B.0.ConsumiblesMaquinaria'!J$24</f>
        <v>9.879999999999999</v>
      </c>
      <c r="AD92" s="300">
        <f t="shared" si="154"/>
        <v>1.73</v>
      </c>
      <c r="AE92" s="300">
        <f>0.5*AE$106</f>
        <v>0.4</v>
      </c>
      <c r="AF92" s="300">
        <f t="shared" si="137"/>
        <v>0</v>
      </c>
      <c r="AG92" s="301">
        <f>+'B.0.ConsumiblesMaquinaria'!J$22</f>
        <v>1.7</v>
      </c>
      <c r="AH92" s="301">
        <f t="shared" si="138"/>
        <v>0</v>
      </c>
      <c r="AI92" s="301">
        <f t="shared" si="155"/>
        <v>1.73</v>
      </c>
      <c r="AJ92" s="300">
        <f t="shared" si="156"/>
        <v>0</v>
      </c>
      <c r="AK92" s="304">
        <f t="shared" si="139"/>
        <v>0</v>
      </c>
      <c r="AL92" s="322">
        <f t="shared" si="157"/>
        <v>0</v>
      </c>
      <c r="AM92" s="301">
        <f t="shared" si="158"/>
        <v>0</v>
      </c>
      <c r="AN92" s="302">
        <v>80</v>
      </c>
      <c r="AO92" s="300">
        <f t="shared" si="159"/>
        <v>0</v>
      </c>
      <c r="AP92" s="303">
        <f t="shared" si="160"/>
        <v>0</v>
      </c>
      <c r="AQ92" s="335">
        <f t="shared" si="161"/>
        <v>0</v>
      </c>
    </row>
    <row r="93" spans="1:43">
      <c r="A93" s="307">
        <v>0</v>
      </c>
      <c r="B93" s="298" t="s">
        <v>526</v>
      </c>
      <c r="C93" s="299" t="s">
        <v>399</v>
      </c>
      <c r="D93" s="299" t="s">
        <v>527</v>
      </c>
      <c r="E93" s="529">
        <v>6000</v>
      </c>
      <c r="F93" s="525">
        <f t="shared" si="140"/>
        <v>1</v>
      </c>
      <c r="G93" s="529">
        <f t="shared" si="141"/>
        <v>6000</v>
      </c>
      <c r="H93" s="529"/>
      <c r="I93" s="300">
        <f t="shared" si="162"/>
        <v>330</v>
      </c>
      <c r="J93" s="300">
        <v>4</v>
      </c>
      <c r="K93" s="301"/>
      <c r="L93" s="302">
        <f t="shared" si="142"/>
        <v>2025</v>
      </c>
      <c r="M93" s="302">
        <f t="shared" si="142"/>
        <v>2033</v>
      </c>
      <c r="N93" s="302">
        <f t="shared" si="142"/>
        <v>8</v>
      </c>
      <c r="O93" s="300">
        <v>35</v>
      </c>
      <c r="P93" s="529">
        <f t="shared" si="143"/>
        <v>0</v>
      </c>
      <c r="Q93" s="529">
        <f t="shared" si="144"/>
        <v>0</v>
      </c>
      <c r="R93" s="529">
        <f t="shared" si="145"/>
        <v>0</v>
      </c>
      <c r="S93" s="529">
        <f t="shared" si="146"/>
        <v>0</v>
      </c>
      <c r="T93" s="529">
        <f t="shared" si="147"/>
        <v>0</v>
      </c>
      <c r="U93" s="529">
        <f t="shared" si="148"/>
        <v>0</v>
      </c>
      <c r="V93" s="529">
        <f t="shared" si="134"/>
        <v>0</v>
      </c>
      <c r="W93" s="529">
        <f t="shared" si="149"/>
        <v>0</v>
      </c>
      <c r="X93" s="291">
        <f t="shared" si="150"/>
        <v>0</v>
      </c>
      <c r="Y93" s="291">
        <f t="shared" si="151"/>
        <v>0</v>
      </c>
      <c r="Z93" s="536">
        <f t="shared" si="152"/>
        <v>0</v>
      </c>
      <c r="AA93" s="304">
        <f>VLOOKUP(O93,'B.0.ConsumiblesMaquinaria'!C$7:D$16,2)</f>
        <v>3.9E-2</v>
      </c>
      <c r="AB93" s="300">
        <f t="shared" si="153"/>
        <v>0</v>
      </c>
      <c r="AC93" s="301">
        <f>+'B.0.ConsumiblesMaquinaria'!J$24</f>
        <v>9.879999999999999</v>
      </c>
      <c r="AD93" s="300">
        <f t="shared" si="154"/>
        <v>1.93</v>
      </c>
      <c r="AE93" s="300">
        <f>1*AE$106</f>
        <v>0.8</v>
      </c>
      <c r="AF93" s="300">
        <f t="shared" si="137"/>
        <v>0</v>
      </c>
      <c r="AG93" s="301">
        <f>+'B.0.ConsumiblesMaquinaria'!J$22</f>
        <v>1.7</v>
      </c>
      <c r="AH93" s="301">
        <f t="shared" si="138"/>
        <v>0</v>
      </c>
      <c r="AI93" s="301">
        <f t="shared" si="155"/>
        <v>1.93</v>
      </c>
      <c r="AJ93" s="300">
        <f t="shared" si="156"/>
        <v>0</v>
      </c>
      <c r="AK93" s="304">
        <f t="shared" si="139"/>
        <v>0</v>
      </c>
      <c r="AL93" s="322">
        <f t="shared" si="157"/>
        <v>0</v>
      </c>
      <c r="AM93" s="301">
        <f t="shared" si="158"/>
        <v>0</v>
      </c>
      <c r="AN93" s="302">
        <v>80</v>
      </c>
      <c r="AO93" s="300">
        <f t="shared" si="159"/>
        <v>0</v>
      </c>
      <c r="AP93" s="303">
        <f t="shared" si="160"/>
        <v>0</v>
      </c>
      <c r="AQ93" s="335">
        <f t="shared" si="161"/>
        <v>0</v>
      </c>
    </row>
    <row r="94" spans="1:43">
      <c r="A94" s="307">
        <v>1</v>
      </c>
      <c r="B94" s="298" t="s">
        <v>528</v>
      </c>
      <c r="C94" s="299" t="s">
        <v>399</v>
      </c>
      <c r="D94" s="299" t="s">
        <v>369</v>
      </c>
      <c r="E94" s="529">
        <v>4375</v>
      </c>
      <c r="F94" s="525">
        <f t="shared" si="140"/>
        <v>1</v>
      </c>
      <c r="G94" s="529">
        <f t="shared" si="141"/>
        <v>4375</v>
      </c>
      <c r="H94" s="529"/>
      <c r="I94" s="300">
        <f t="shared" si="162"/>
        <v>330</v>
      </c>
      <c r="J94" s="300">
        <v>4</v>
      </c>
      <c r="K94" s="301"/>
      <c r="L94" s="302">
        <f t="shared" si="142"/>
        <v>2025</v>
      </c>
      <c r="M94" s="302">
        <f t="shared" si="142"/>
        <v>2033</v>
      </c>
      <c r="N94" s="302">
        <f t="shared" si="142"/>
        <v>8</v>
      </c>
      <c r="O94" s="300">
        <v>11</v>
      </c>
      <c r="P94" s="529">
        <f t="shared" si="143"/>
        <v>4375</v>
      </c>
      <c r="Q94" s="529">
        <f t="shared" si="144"/>
        <v>1093.75</v>
      </c>
      <c r="R94" s="529">
        <f t="shared" si="145"/>
        <v>1093.75</v>
      </c>
      <c r="S94" s="529">
        <f t="shared" si="146"/>
        <v>151.53601228170851</v>
      </c>
      <c r="T94" s="529">
        <f t="shared" si="147"/>
        <v>151.53601228170851</v>
      </c>
      <c r="U94" s="529">
        <f t="shared" si="148"/>
        <v>1245.2860122817085</v>
      </c>
      <c r="V94" s="529">
        <f t="shared" si="134"/>
        <v>136.71875</v>
      </c>
      <c r="W94" s="529">
        <f t="shared" si="149"/>
        <v>136.71875</v>
      </c>
      <c r="X94" s="291">
        <f t="shared" si="150"/>
        <v>0</v>
      </c>
      <c r="Y94" s="291">
        <f t="shared" si="151"/>
        <v>1382.0047622817085</v>
      </c>
      <c r="Z94" s="536">
        <f t="shared" si="152"/>
        <v>1382.0047622817085</v>
      </c>
      <c r="AA94" s="304">
        <f>VLOOKUP(O94,'B.0.ConsumiblesMaquinaria'!C$7:D$16,2)</f>
        <v>3.5000000000000003E-2</v>
      </c>
      <c r="AB94" s="300">
        <f t="shared" si="153"/>
        <v>11.55</v>
      </c>
      <c r="AC94" s="301">
        <f>+'B.0.ConsumiblesMaquinaria'!J$24</f>
        <v>9.879999999999999</v>
      </c>
      <c r="AD94" s="300">
        <f t="shared" si="154"/>
        <v>1.73</v>
      </c>
      <c r="AE94" s="300">
        <f>1*AE$106</f>
        <v>0.8</v>
      </c>
      <c r="AF94" s="300">
        <f t="shared" si="137"/>
        <v>264</v>
      </c>
      <c r="AG94" s="301">
        <f>+'B.0.ConsumiblesMaquinaria'!J$22</f>
        <v>1.7</v>
      </c>
      <c r="AH94" s="301">
        <f t="shared" si="138"/>
        <v>6.8</v>
      </c>
      <c r="AI94" s="301">
        <f t="shared" si="155"/>
        <v>8.5299999999999994</v>
      </c>
      <c r="AJ94" s="300">
        <f t="shared" si="156"/>
        <v>682.4</v>
      </c>
      <c r="AK94" s="304">
        <f t="shared" si="139"/>
        <v>0.4375</v>
      </c>
      <c r="AL94" s="322">
        <f t="shared" si="157"/>
        <v>35</v>
      </c>
      <c r="AM94" s="301">
        <f t="shared" si="158"/>
        <v>8.9674999999999994</v>
      </c>
      <c r="AN94" s="302">
        <v>80</v>
      </c>
      <c r="AO94" s="300">
        <f t="shared" si="159"/>
        <v>717.4</v>
      </c>
      <c r="AP94" s="303">
        <f t="shared" si="160"/>
        <v>717.4</v>
      </c>
      <c r="AQ94" s="335">
        <f t="shared" si="161"/>
        <v>2099.4047622817084</v>
      </c>
    </row>
    <row r="95" spans="1:43">
      <c r="A95" s="307">
        <v>1</v>
      </c>
      <c r="B95" s="298" t="s">
        <v>529</v>
      </c>
      <c r="C95" s="299" t="s">
        <v>399</v>
      </c>
      <c r="D95" s="299" t="s">
        <v>530</v>
      </c>
      <c r="E95" s="529">
        <v>6125</v>
      </c>
      <c r="F95" s="525">
        <f t="shared" si="140"/>
        <v>1</v>
      </c>
      <c r="G95" s="529">
        <f t="shared" si="141"/>
        <v>6125</v>
      </c>
      <c r="H95" s="529">
        <f>8*22</f>
        <v>176</v>
      </c>
      <c r="I95" s="300">
        <f t="shared" si="162"/>
        <v>330</v>
      </c>
      <c r="J95" s="300">
        <v>4</v>
      </c>
      <c r="K95" s="301"/>
      <c r="L95" s="302">
        <f t="shared" si="142"/>
        <v>2025</v>
      </c>
      <c r="M95" s="302">
        <f t="shared" si="142"/>
        <v>2033</v>
      </c>
      <c r="N95" s="302">
        <f t="shared" si="142"/>
        <v>8</v>
      </c>
      <c r="O95" s="300">
        <v>6.5</v>
      </c>
      <c r="P95" s="529">
        <f t="shared" si="143"/>
        <v>6125</v>
      </c>
      <c r="Q95" s="529">
        <f t="shared" si="144"/>
        <v>1531.25</v>
      </c>
      <c r="R95" s="529">
        <f t="shared" si="145"/>
        <v>1531.25</v>
      </c>
      <c r="S95" s="529">
        <f t="shared" si="146"/>
        <v>212.15041719439205</v>
      </c>
      <c r="T95" s="529">
        <f t="shared" si="147"/>
        <v>212.15041719439205</v>
      </c>
      <c r="U95" s="529">
        <f t="shared" si="148"/>
        <v>1743.400417194392</v>
      </c>
      <c r="V95" s="529">
        <f t="shared" si="134"/>
        <v>191.40625</v>
      </c>
      <c r="W95" s="529">
        <f t="shared" si="149"/>
        <v>191.40625</v>
      </c>
      <c r="X95" s="291">
        <f t="shared" si="150"/>
        <v>0</v>
      </c>
      <c r="Y95" s="291">
        <f t="shared" si="151"/>
        <v>1934.806667194392</v>
      </c>
      <c r="Z95" s="536">
        <f t="shared" si="152"/>
        <v>1934.806667194392</v>
      </c>
      <c r="AA95" s="304">
        <f>VLOOKUP(O95,'B.0.ConsumiblesMaquinaria'!C$7:D$16,2)</f>
        <v>3.5000000000000003E-2</v>
      </c>
      <c r="AB95" s="300">
        <f t="shared" si="153"/>
        <v>11.55</v>
      </c>
      <c r="AC95" s="301">
        <f>+'B.0.ConsumiblesMaquinaria'!J$24</f>
        <v>9.879999999999999</v>
      </c>
      <c r="AD95" s="300">
        <f t="shared" si="154"/>
        <v>1.73</v>
      </c>
      <c r="AE95" s="300">
        <f>1*AE$106</f>
        <v>0.8</v>
      </c>
      <c r="AF95" s="300">
        <f t="shared" si="137"/>
        <v>264</v>
      </c>
      <c r="AG95" s="301">
        <f>+'B.0.ConsumiblesMaquinaria'!J$22</f>
        <v>1.7</v>
      </c>
      <c r="AH95" s="301">
        <f t="shared" si="138"/>
        <v>6.8</v>
      </c>
      <c r="AI95" s="301">
        <f t="shared" si="155"/>
        <v>8.5299999999999994</v>
      </c>
      <c r="AJ95" s="300">
        <f t="shared" si="156"/>
        <v>682.4</v>
      </c>
      <c r="AK95" s="304">
        <f t="shared" si="139"/>
        <v>0.61250000000000004</v>
      </c>
      <c r="AL95" s="322">
        <f t="shared" si="157"/>
        <v>49</v>
      </c>
      <c r="AM95" s="301">
        <f t="shared" si="158"/>
        <v>9.1425000000000001</v>
      </c>
      <c r="AN95" s="302">
        <v>80</v>
      </c>
      <c r="AO95" s="300">
        <f t="shared" si="159"/>
        <v>731.4</v>
      </c>
      <c r="AP95" s="303">
        <f t="shared" si="160"/>
        <v>731.4</v>
      </c>
      <c r="AQ95" s="335">
        <f t="shared" si="161"/>
        <v>2666.2066671943921</v>
      </c>
    </row>
    <row r="96" spans="1:43">
      <c r="A96" s="307">
        <v>0</v>
      </c>
      <c r="B96" s="298" t="s">
        <v>531</v>
      </c>
      <c r="C96" s="299" t="s">
        <v>399</v>
      </c>
      <c r="D96" s="299" t="s">
        <v>532</v>
      </c>
      <c r="E96" s="529">
        <v>1875</v>
      </c>
      <c r="F96" s="525">
        <f t="shared" si="140"/>
        <v>1</v>
      </c>
      <c r="G96" s="529">
        <f t="shared" si="141"/>
        <v>1875</v>
      </c>
      <c r="H96" s="529"/>
      <c r="I96" s="300">
        <f t="shared" si="162"/>
        <v>330</v>
      </c>
      <c r="J96" s="300">
        <v>4</v>
      </c>
      <c r="K96" s="301"/>
      <c r="L96" s="302">
        <f t="shared" si="142"/>
        <v>2025</v>
      </c>
      <c r="M96" s="302">
        <f t="shared" si="142"/>
        <v>2033</v>
      </c>
      <c r="N96" s="302">
        <f t="shared" si="142"/>
        <v>8</v>
      </c>
      <c r="O96" s="300">
        <v>2.5</v>
      </c>
      <c r="P96" s="529">
        <f t="shared" si="143"/>
        <v>0</v>
      </c>
      <c r="Q96" s="529">
        <f t="shared" si="144"/>
        <v>0</v>
      </c>
      <c r="R96" s="529">
        <f t="shared" si="145"/>
        <v>0</v>
      </c>
      <c r="S96" s="529">
        <f t="shared" si="146"/>
        <v>0</v>
      </c>
      <c r="T96" s="529">
        <f t="shared" si="147"/>
        <v>0</v>
      </c>
      <c r="U96" s="529">
        <f t="shared" si="148"/>
        <v>0</v>
      </c>
      <c r="V96" s="529">
        <f t="shared" si="134"/>
        <v>0</v>
      </c>
      <c r="W96" s="529">
        <f t="shared" si="149"/>
        <v>0</v>
      </c>
      <c r="X96" s="291">
        <f t="shared" si="150"/>
        <v>0</v>
      </c>
      <c r="Y96" s="291">
        <f t="shared" si="151"/>
        <v>0</v>
      </c>
      <c r="Z96" s="536">
        <f t="shared" si="152"/>
        <v>0</v>
      </c>
      <c r="AA96" s="304">
        <f>VLOOKUP(O96,'B.0.ConsumiblesMaquinaria'!C$7:D$16,2)</f>
        <v>3.5000000000000003E-2</v>
      </c>
      <c r="AB96" s="300">
        <f t="shared" si="153"/>
        <v>0</v>
      </c>
      <c r="AC96" s="301">
        <f>+'B.0.ConsumiblesMaquinaria'!J$24</f>
        <v>9.879999999999999</v>
      </c>
      <c r="AD96" s="300">
        <f t="shared" si="154"/>
        <v>1.73</v>
      </c>
      <c r="AE96" s="300">
        <f>0*AE$106</f>
        <v>0</v>
      </c>
      <c r="AF96" s="300">
        <f t="shared" si="137"/>
        <v>0</v>
      </c>
      <c r="AG96" s="301">
        <f>+'B.0.ConsumiblesMaquinaria'!J$22</f>
        <v>1.7</v>
      </c>
      <c r="AH96" s="301">
        <f t="shared" si="138"/>
        <v>0</v>
      </c>
      <c r="AI96" s="301">
        <f t="shared" si="155"/>
        <v>1.73</v>
      </c>
      <c r="AJ96" s="300">
        <f t="shared" si="156"/>
        <v>0</v>
      </c>
      <c r="AK96" s="304">
        <f t="shared" si="139"/>
        <v>0</v>
      </c>
      <c r="AL96" s="322">
        <f t="shared" si="157"/>
        <v>0</v>
      </c>
      <c r="AM96" s="301">
        <f t="shared" si="158"/>
        <v>0</v>
      </c>
      <c r="AN96" s="302">
        <v>80</v>
      </c>
      <c r="AO96" s="300">
        <f t="shared" si="159"/>
        <v>0</v>
      </c>
      <c r="AP96" s="303">
        <f t="shared" si="160"/>
        <v>0</v>
      </c>
      <c r="AQ96" s="335">
        <f t="shared" si="161"/>
        <v>0</v>
      </c>
    </row>
    <row r="97" spans="1:43">
      <c r="A97" s="307">
        <v>1</v>
      </c>
      <c r="B97" s="298" t="s">
        <v>533</v>
      </c>
      <c r="C97" s="299" t="s">
        <v>399</v>
      </c>
      <c r="D97" s="299" t="s">
        <v>532</v>
      </c>
      <c r="E97" s="529">
        <v>2125</v>
      </c>
      <c r="F97" s="525">
        <f t="shared" si="140"/>
        <v>1</v>
      </c>
      <c r="G97" s="529">
        <f t="shared" si="141"/>
        <v>2125</v>
      </c>
      <c r="H97" s="529">
        <v>253</v>
      </c>
      <c r="I97" s="300">
        <f t="shared" si="162"/>
        <v>330</v>
      </c>
      <c r="J97" s="300">
        <v>4</v>
      </c>
      <c r="K97" s="301"/>
      <c r="L97" s="302">
        <f t="shared" si="142"/>
        <v>2025</v>
      </c>
      <c r="M97" s="302">
        <f t="shared" si="142"/>
        <v>2033</v>
      </c>
      <c r="N97" s="302">
        <f t="shared" si="142"/>
        <v>8</v>
      </c>
      <c r="O97" s="300">
        <v>2</v>
      </c>
      <c r="P97" s="529">
        <f t="shared" si="143"/>
        <v>2125</v>
      </c>
      <c r="Q97" s="529">
        <f t="shared" si="144"/>
        <v>531.25</v>
      </c>
      <c r="R97" s="529">
        <f t="shared" si="145"/>
        <v>531.25</v>
      </c>
      <c r="S97" s="529">
        <f t="shared" si="146"/>
        <v>73.603205965401344</v>
      </c>
      <c r="T97" s="529">
        <f t="shared" si="147"/>
        <v>73.603205965401344</v>
      </c>
      <c r="U97" s="529">
        <f t="shared" si="148"/>
        <v>604.85320596540134</v>
      </c>
      <c r="V97" s="529">
        <f t="shared" si="134"/>
        <v>66.40625</v>
      </c>
      <c r="W97" s="529">
        <f t="shared" si="149"/>
        <v>66.40625</v>
      </c>
      <c r="X97" s="291">
        <f t="shared" si="150"/>
        <v>0</v>
      </c>
      <c r="Y97" s="291">
        <f t="shared" si="151"/>
        <v>671.25945596540134</v>
      </c>
      <c r="Z97" s="536">
        <f t="shared" si="152"/>
        <v>671.25945596540134</v>
      </c>
      <c r="AA97" s="304">
        <f>VLOOKUP(O97,'B.0.ConsumiblesMaquinaria'!C$7:D$16,2)</f>
        <v>3.5000000000000003E-2</v>
      </c>
      <c r="AB97" s="300">
        <f t="shared" si="153"/>
        <v>11.55</v>
      </c>
      <c r="AC97" s="301">
        <f>+'B.0.ConsumiblesMaquinaria'!J$24</f>
        <v>9.879999999999999</v>
      </c>
      <c r="AD97" s="300">
        <f t="shared" si="154"/>
        <v>1.73</v>
      </c>
      <c r="AE97" s="300">
        <f>1*AE$106</f>
        <v>0.8</v>
      </c>
      <c r="AF97" s="300">
        <f t="shared" si="137"/>
        <v>264</v>
      </c>
      <c r="AG97" s="301">
        <f>+'B.0.ConsumiblesMaquinaria'!J$22</f>
        <v>1.7</v>
      </c>
      <c r="AH97" s="301">
        <f t="shared" si="138"/>
        <v>6.8</v>
      </c>
      <c r="AI97" s="301">
        <f t="shared" si="155"/>
        <v>8.5299999999999994</v>
      </c>
      <c r="AJ97" s="300">
        <f t="shared" si="156"/>
        <v>682.4</v>
      </c>
      <c r="AK97" s="304">
        <f t="shared" si="139"/>
        <v>0.21250000000000002</v>
      </c>
      <c r="AL97" s="322">
        <f t="shared" si="157"/>
        <v>17</v>
      </c>
      <c r="AM97" s="301">
        <f t="shared" si="158"/>
        <v>8.7424999999999997</v>
      </c>
      <c r="AN97" s="302">
        <v>80</v>
      </c>
      <c r="AO97" s="300">
        <f t="shared" si="159"/>
        <v>699.4</v>
      </c>
      <c r="AP97" s="303">
        <f t="shared" si="160"/>
        <v>699.4</v>
      </c>
      <c r="AQ97" s="335">
        <f t="shared" si="161"/>
        <v>1370.6594559654013</v>
      </c>
    </row>
    <row r="98" spans="1:43">
      <c r="A98" s="307">
        <v>0</v>
      </c>
      <c r="B98" s="298" t="s">
        <v>534</v>
      </c>
      <c r="C98" s="299" t="s">
        <v>399</v>
      </c>
      <c r="D98" s="299" t="s">
        <v>515</v>
      </c>
      <c r="E98" s="529">
        <v>2250</v>
      </c>
      <c r="F98" s="525">
        <f t="shared" si="140"/>
        <v>1</v>
      </c>
      <c r="G98" s="529">
        <f t="shared" si="141"/>
        <v>2250</v>
      </c>
      <c r="H98" s="529"/>
      <c r="I98" s="300">
        <f t="shared" si="162"/>
        <v>330</v>
      </c>
      <c r="J98" s="300">
        <v>4</v>
      </c>
      <c r="K98" s="301"/>
      <c r="L98" s="302">
        <f t="shared" si="142"/>
        <v>2025</v>
      </c>
      <c r="M98" s="302">
        <f t="shared" si="142"/>
        <v>2033</v>
      </c>
      <c r="N98" s="302">
        <f t="shared" si="142"/>
        <v>8</v>
      </c>
      <c r="O98" s="300">
        <v>14</v>
      </c>
      <c r="P98" s="529">
        <f t="shared" si="143"/>
        <v>0</v>
      </c>
      <c r="Q98" s="529">
        <f t="shared" si="144"/>
        <v>0</v>
      </c>
      <c r="R98" s="529">
        <f t="shared" si="145"/>
        <v>0</v>
      </c>
      <c r="S98" s="529">
        <f t="shared" si="146"/>
        <v>0</v>
      </c>
      <c r="T98" s="529">
        <f t="shared" si="147"/>
        <v>0</v>
      </c>
      <c r="U98" s="529">
        <f t="shared" si="148"/>
        <v>0</v>
      </c>
      <c r="V98" s="529">
        <f t="shared" si="134"/>
        <v>0</v>
      </c>
      <c r="W98" s="529">
        <f t="shared" si="149"/>
        <v>0</v>
      </c>
      <c r="X98" s="291">
        <f t="shared" si="150"/>
        <v>0</v>
      </c>
      <c r="Y98" s="291">
        <f t="shared" si="151"/>
        <v>0</v>
      </c>
      <c r="Z98" s="536">
        <f t="shared" si="152"/>
        <v>0</v>
      </c>
      <c r="AA98" s="304">
        <f>VLOOKUP(O98,'B.0.ConsumiblesMaquinaria'!C$7:D$16,2)</f>
        <v>3.5000000000000003E-2</v>
      </c>
      <c r="AB98" s="300">
        <f t="shared" si="153"/>
        <v>0</v>
      </c>
      <c r="AC98" s="301">
        <f>+'B.0.ConsumiblesMaquinaria'!J$24</f>
        <v>9.879999999999999</v>
      </c>
      <c r="AD98" s="300">
        <f>+ROUND(AA98*AR$1*AC98,2)</f>
        <v>1.73</v>
      </c>
      <c r="AE98" s="300">
        <f>1*AE$106</f>
        <v>0.8</v>
      </c>
      <c r="AF98" s="300">
        <f t="shared" si="137"/>
        <v>0</v>
      </c>
      <c r="AG98" s="301">
        <f>+'B.0.ConsumiblesMaquinaria'!J$22</f>
        <v>1.7</v>
      </c>
      <c r="AH98" s="301">
        <f t="shared" si="138"/>
        <v>0</v>
      </c>
      <c r="AI98" s="301">
        <f t="shared" si="155"/>
        <v>1.73</v>
      </c>
      <c r="AJ98" s="300">
        <f t="shared" si="156"/>
        <v>0</v>
      </c>
      <c r="AK98" s="304">
        <f t="shared" si="139"/>
        <v>0</v>
      </c>
      <c r="AL98" s="322">
        <f t="shared" si="157"/>
        <v>0</v>
      </c>
      <c r="AM98" s="301">
        <f t="shared" si="158"/>
        <v>0</v>
      </c>
      <c r="AN98" s="302">
        <v>80</v>
      </c>
      <c r="AO98" s="300">
        <f t="shared" si="159"/>
        <v>0</v>
      </c>
      <c r="AP98" s="303">
        <f t="shared" si="160"/>
        <v>0</v>
      </c>
      <c r="AQ98" s="335">
        <f t="shared" si="161"/>
        <v>0</v>
      </c>
    </row>
    <row r="99" spans="1:43">
      <c r="A99" s="307">
        <v>3</v>
      </c>
      <c r="B99" s="298" t="s">
        <v>535</v>
      </c>
      <c r="C99" s="299"/>
      <c r="D99" s="299" t="s">
        <v>536</v>
      </c>
      <c r="E99" s="529">
        <v>6000</v>
      </c>
      <c r="F99" s="525">
        <f t="shared" si="140"/>
        <v>1</v>
      </c>
      <c r="G99" s="529">
        <f t="shared" si="141"/>
        <v>6000</v>
      </c>
      <c r="H99" s="529"/>
      <c r="I99" s="300">
        <f>22*8*AR$1</f>
        <v>880</v>
      </c>
      <c r="J99" s="300">
        <v>4</v>
      </c>
      <c r="K99" s="301"/>
      <c r="L99" s="302">
        <f t="shared" si="142"/>
        <v>2025</v>
      </c>
      <c r="M99" s="302">
        <f t="shared" si="142"/>
        <v>2033</v>
      </c>
      <c r="N99" s="302">
        <f t="shared" si="142"/>
        <v>8</v>
      </c>
      <c r="O99" s="300">
        <v>0</v>
      </c>
      <c r="P99" s="529">
        <f t="shared" si="143"/>
        <v>18000</v>
      </c>
      <c r="Q99" s="529">
        <f t="shared" si="144"/>
        <v>1500</v>
      </c>
      <c r="R99" s="529">
        <f t="shared" si="145"/>
        <v>4500</v>
      </c>
      <c r="S99" s="529">
        <f t="shared" si="146"/>
        <v>207.820816843486</v>
      </c>
      <c r="T99" s="529">
        <f t="shared" si="147"/>
        <v>623.462450530458</v>
      </c>
      <c r="U99" s="529">
        <f t="shared" si="148"/>
        <v>5123.4624505304582</v>
      </c>
      <c r="V99" s="529">
        <f t="shared" si="134"/>
        <v>187.5</v>
      </c>
      <c r="W99" s="529">
        <f t="shared" si="149"/>
        <v>562.5</v>
      </c>
      <c r="X99" s="291">
        <f t="shared" si="150"/>
        <v>0</v>
      </c>
      <c r="Y99" s="291">
        <f t="shared" si="151"/>
        <v>1895.320816843486</v>
      </c>
      <c r="Z99" s="536">
        <f t="shared" si="152"/>
        <v>5685.9624505304582</v>
      </c>
      <c r="AA99" s="300">
        <v>0</v>
      </c>
      <c r="AB99" s="300">
        <f t="shared" si="153"/>
        <v>0</v>
      </c>
      <c r="AC99" s="300">
        <v>0</v>
      </c>
      <c r="AD99" s="300">
        <f t="shared" si="154"/>
        <v>0</v>
      </c>
      <c r="AE99" s="300">
        <f>0*AE$106</f>
        <v>0</v>
      </c>
      <c r="AF99" s="300">
        <f t="shared" si="137"/>
        <v>0</v>
      </c>
      <c r="AG99" s="301">
        <v>0</v>
      </c>
      <c r="AH99" s="301">
        <f t="shared" si="138"/>
        <v>0</v>
      </c>
      <c r="AI99" s="301">
        <f t="shared" si="155"/>
        <v>0</v>
      </c>
      <c r="AJ99" s="300">
        <f t="shared" si="156"/>
        <v>0</v>
      </c>
      <c r="AK99" s="304">
        <f t="shared" si="139"/>
        <v>0.6</v>
      </c>
      <c r="AL99" s="322">
        <f t="shared" si="157"/>
        <v>144</v>
      </c>
      <c r="AM99" s="301">
        <f t="shared" si="158"/>
        <v>0.6</v>
      </c>
      <c r="AN99" s="302">
        <v>80</v>
      </c>
      <c r="AO99" s="300">
        <f t="shared" si="159"/>
        <v>48</v>
      </c>
      <c r="AP99" s="303">
        <f t="shared" si="160"/>
        <v>144</v>
      </c>
      <c r="AQ99" s="335">
        <f t="shared" si="161"/>
        <v>5829.9624505304582</v>
      </c>
    </row>
    <row r="100" spans="1:43">
      <c r="A100" s="307">
        <v>3</v>
      </c>
      <c r="B100" s="325" t="s">
        <v>537</v>
      </c>
      <c r="C100" s="326"/>
      <c r="D100" s="326" t="s">
        <v>369</v>
      </c>
      <c r="E100" s="530">
        <v>3750</v>
      </c>
      <c r="F100" s="526">
        <f t="shared" si="140"/>
        <v>1</v>
      </c>
      <c r="G100" s="530">
        <f t="shared" si="141"/>
        <v>3750</v>
      </c>
      <c r="H100" s="530"/>
      <c r="I100" s="327">
        <f>22*8*AR$1</f>
        <v>880</v>
      </c>
      <c r="J100" s="327">
        <v>4</v>
      </c>
      <c r="K100" s="328"/>
      <c r="L100" s="329">
        <f t="shared" si="142"/>
        <v>2025</v>
      </c>
      <c r="M100" s="329">
        <f t="shared" si="142"/>
        <v>2033</v>
      </c>
      <c r="N100" s="329">
        <f t="shared" si="142"/>
        <v>8</v>
      </c>
      <c r="O100" s="327">
        <v>0</v>
      </c>
      <c r="P100" s="530">
        <f t="shared" si="143"/>
        <v>11250</v>
      </c>
      <c r="Q100" s="530">
        <f t="shared" si="144"/>
        <v>937.5</v>
      </c>
      <c r="R100" s="530">
        <f t="shared" si="145"/>
        <v>2812.5</v>
      </c>
      <c r="S100" s="530">
        <f t="shared" si="146"/>
        <v>129.88801052717872</v>
      </c>
      <c r="T100" s="530">
        <f t="shared" si="147"/>
        <v>389.66403158153616</v>
      </c>
      <c r="U100" s="530">
        <f t="shared" si="148"/>
        <v>3202.1640315815362</v>
      </c>
      <c r="V100" s="530">
        <f t="shared" si="134"/>
        <v>117.1875</v>
      </c>
      <c r="W100" s="530">
        <f t="shared" si="149"/>
        <v>351.5625</v>
      </c>
      <c r="X100" s="310">
        <f t="shared" si="150"/>
        <v>0</v>
      </c>
      <c r="Y100" s="310">
        <f t="shared" si="151"/>
        <v>1184.5755105271787</v>
      </c>
      <c r="Z100" s="537">
        <f t="shared" si="152"/>
        <v>3553.7265315815362</v>
      </c>
      <c r="AA100" s="327">
        <v>0</v>
      </c>
      <c r="AB100" s="327">
        <f t="shared" si="153"/>
        <v>0</v>
      </c>
      <c r="AC100" s="327">
        <v>0</v>
      </c>
      <c r="AD100" s="327">
        <f t="shared" si="154"/>
        <v>0</v>
      </c>
      <c r="AE100" s="327">
        <f>0*AE$106</f>
        <v>0</v>
      </c>
      <c r="AF100" s="327">
        <f t="shared" si="137"/>
        <v>0</v>
      </c>
      <c r="AG100" s="328">
        <v>0</v>
      </c>
      <c r="AH100" s="328">
        <f t="shared" si="138"/>
        <v>0</v>
      </c>
      <c r="AI100" s="328">
        <f t="shared" si="155"/>
        <v>0</v>
      </c>
      <c r="AJ100" s="327">
        <f t="shared" si="156"/>
        <v>0</v>
      </c>
      <c r="AK100" s="337">
        <f t="shared" si="139"/>
        <v>0.375</v>
      </c>
      <c r="AL100" s="322">
        <f t="shared" si="157"/>
        <v>90</v>
      </c>
      <c r="AM100" s="328">
        <f t="shared" si="158"/>
        <v>0.375</v>
      </c>
      <c r="AN100" s="329">
        <v>80</v>
      </c>
      <c r="AO100" s="327">
        <f t="shared" si="159"/>
        <v>30</v>
      </c>
      <c r="AP100" s="338">
        <f t="shared" si="160"/>
        <v>90</v>
      </c>
      <c r="AQ100" s="339">
        <f t="shared" si="161"/>
        <v>3643.7265315815362</v>
      </c>
    </row>
    <row r="102" spans="1:43">
      <c r="J102" s="438" t="s">
        <v>1026</v>
      </c>
      <c r="K102" s="435"/>
      <c r="L102" s="435"/>
      <c r="M102" s="435"/>
      <c r="N102" s="435"/>
      <c r="O102" s="435"/>
      <c r="P102" s="430">
        <f>SUM(P7:P100)</f>
        <v>336343.02470703126</v>
      </c>
    </row>
    <row r="103" spans="1:43">
      <c r="K103" s="438" t="s">
        <v>998</v>
      </c>
      <c r="L103" s="435"/>
      <c r="M103" s="435"/>
      <c r="N103" s="435"/>
      <c r="O103" s="435"/>
      <c r="P103" s="429"/>
      <c r="Q103" s="429"/>
      <c r="R103" s="430">
        <f>SUM(R7:R100)</f>
        <v>84085.756176757815</v>
      </c>
    </row>
    <row r="104" spans="1:43">
      <c r="M104" s="438" t="s">
        <v>999</v>
      </c>
      <c r="N104" s="435"/>
      <c r="O104" s="435"/>
      <c r="P104" s="435"/>
      <c r="Q104" s="435"/>
      <c r="R104" s="429"/>
      <c r="S104" s="429"/>
      <c r="T104" s="430">
        <f>SUM(T7:T100)</f>
        <v>11649.847022370674</v>
      </c>
    </row>
    <row r="105" spans="1:43">
      <c r="N105" s="829" t="s">
        <v>960</v>
      </c>
      <c r="O105" s="829"/>
      <c r="P105" s="829"/>
      <c r="Q105" s="829"/>
      <c r="R105" s="435"/>
      <c r="S105" s="429"/>
      <c r="T105" s="429"/>
      <c r="U105" s="430">
        <f>SUM(U7:U100)</f>
        <v>95735.60319912844</v>
      </c>
      <c r="AD105" s="105"/>
      <c r="AE105" s="105"/>
      <c r="AF105" s="829" t="s">
        <v>957</v>
      </c>
      <c r="AG105" s="829"/>
      <c r="AH105" s="829"/>
      <c r="AI105" s="829"/>
      <c r="AJ105" s="430">
        <f>SUM(AJ7:AJ100)</f>
        <v>80450.279999999984</v>
      </c>
    </row>
    <row r="106" spans="1:43">
      <c r="Q106" s="829" t="s">
        <v>964</v>
      </c>
      <c r="R106" s="829"/>
      <c r="S106" s="829"/>
      <c r="T106" s="829"/>
      <c r="U106" s="829"/>
      <c r="V106" s="829"/>
      <c r="W106" s="430">
        <f>SUM(W7:W100)</f>
        <v>10510.719522094727</v>
      </c>
      <c r="AD106" s="105"/>
      <c r="AE106" s="105">
        <v>0.8</v>
      </c>
      <c r="AH106" s="829" t="s">
        <v>967</v>
      </c>
      <c r="AI106" s="829"/>
      <c r="AJ106" s="829"/>
      <c r="AK106" s="829"/>
      <c r="AL106" s="430">
        <f>SUM(AL7:AL100)</f>
        <v>3474.3532447265629</v>
      </c>
    </row>
    <row r="107" spans="1:43">
      <c r="AD107" s="105"/>
      <c r="AE107" s="105"/>
      <c r="AF107" s="105"/>
    </row>
    <row r="108" spans="1:43">
      <c r="AD108" s="105"/>
      <c r="AE108" s="105"/>
      <c r="AF108" s="105"/>
    </row>
  </sheetData>
  <mergeCells count="48">
    <mergeCell ref="N105:Q105"/>
    <mergeCell ref="Q106:V106"/>
    <mergeCell ref="AF105:AI105"/>
    <mergeCell ref="AH106:AK106"/>
    <mergeCell ref="U3:U4"/>
    <mergeCell ref="W3:W4"/>
    <mergeCell ref="AI3:AI4"/>
    <mergeCell ref="AJ3:AJ4"/>
    <mergeCell ref="R3:R4"/>
    <mergeCell ref="T3:T4"/>
    <mergeCell ref="P3:P4"/>
    <mergeCell ref="Q3:Q4"/>
    <mergeCell ref="S3:S4"/>
    <mergeCell ref="A63:C63"/>
    <mergeCell ref="A67:C67"/>
    <mergeCell ref="A81:C81"/>
    <mergeCell ref="A3:A4"/>
    <mergeCell ref="B3:B4"/>
    <mergeCell ref="C3:C4"/>
    <mergeCell ref="A26:C26"/>
    <mergeCell ref="A31:C31"/>
    <mergeCell ref="A50:C50"/>
    <mergeCell ref="A57:C57"/>
    <mergeCell ref="F3:F4"/>
    <mergeCell ref="G3:G4"/>
    <mergeCell ref="A6:C6"/>
    <mergeCell ref="A1:AQ1"/>
    <mergeCell ref="A2:O2"/>
    <mergeCell ref="P2:Z2"/>
    <mergeCell ref="AA2:AN2"/>
    <mergeCell ref="AA3:AD3"/>
    <mergeCell ref="AE3:AH3"/>
    <mergeCell ref="D3:D4"/>
    <mergeCell ref="E3:E4"/>
    <mergeCell ref="H3:H4"/>
    <mergeCell ref="I3:I4"/>
    <mergeCell ref="J3:J4"/>
    <mergeCell ref="O3:O4"/>
    <mergeCell ref="AQ2:AQ5"/>
    <mergeCell ref="AP3:AP5"/>
    <mergeCell ref="Z3:Z4"/>
    <mergeCell ref="AO3:AO5"/>
    <mergeCell ref="V3:V4"/>
    <mergeCell ref="X3:X4"/>
    <mergeCell ref="Y3:Y4"/>
    <mergeCell ref="AM3:AM5"/>
    <mergeCell ref="AN3:AN5"/>
    <mergeCell ref="AL3:AL4"/>
  </mergeCells>
  <conditionalFormatting sqref="P7:Z100">
    <cfRule type="cellIs" dxfId="19" priority="1" operator="equal">
      <formula>0</formula>
    </cfRule>
  </conditionalFormatting>
  <conditionalFormatting sqref="X8:Y25">
    <cfRule type="cellIs" dxfId="18" priority="30" operator="equal">
      <formula>0</formula>
    </cfRule>
  </conditionalFormatting>
  <conditionalFormatting sqref="X27:Y30">
    <cfRule type="cellIs" dxfId="17" priority="29" operator="equal">
      <formula>0</formula>
    </cfRule>
  </conditionalFormatting>
  <conditionalFormatting sqref="X51:Y56">
    <cfRule type="cellIs" dxfId="16" priority="27" operator="equal">
      <formula>0</formula>
    </cfRule>
  </conditionalFormatting>
  <conditionalFormatting sqref="X58:Y62">
    <cfRule type="cellIs" dxfId="15" priority="26" operator="equal">
      <formula>0</formula>
    </cfRule>
  </conditionalFormatting>
  <conditionalFormatting sqref="X64:Y66">
    <cfRule type="cellIs" dxfId="14" priority="25" operator="equal">
      <formula>0</formula>
    </cfRule>
  </conditionalFormatting>
  <conditionalFormatting sqref="X68:Y80">
    <cfRule type="cellIs" dxfId="13" priority="24" operator="equal">
      <formula>0</formula>
    </cfRule>
  </conditionalFormatting>
  <conditionalFormatting sqref="X82:Y100">
    <cfRule type="cellIs" dxfId="12" priority="23" operator="equal">
      <formula>0</formula>
    </cfRule>
  </conditionalFormatting>
  <conditionalFormatting sqref="AA7:AP100">
    <cfRule type="cellIs" dxfId="11" priority="4" operator="equal">
      <formula>0</formula>
    </cfRule>
  </conditionalFormatting>
  <conditionalFormatting sqref="AQ7:AQ25">
    <cfRule type="cellIs" dxfId="10" priority="18" operator="equal">
      <formula>0</formula>
    </cfRule>
  </conditionalFormatting>
  <conditionalFormatting sqref="AQ27:AQ49">
    <cfRule type="cellIs" dxfId="9" priority="2" operator="equal">
      <formula>0</formula>
    </cfRule>
  </conditionalFormatting>
  <conditionalFormatting sqref="AQ51:AQ56">
    <cfRule type="cellIs" dxfId="8" priority="10" operator="equal">
      <formula>0</formula>
    </cfRule>
  </conditionalFormatting>
  <conditionalFormatting sqref="AQ58:AQ62">
    <cfRule type="cellIs" dxfId="7" priority="9" operator="equal">
      <formula>0</formula>
    </cfRule>
  </conditionalFormatting>
  <conditionalFormatting sqref="AQ64:AQ66">
    <cfRule type="cellIs" dxfId="6" priority="8" operator="equal">
      <formula>0</formula>
    </cfRule>
  </conditionalFormatting>
  <conditionalFormatting sqref="AQ68:AQ80">
    <cfRule type="cellIs" dxfId="5" priority="7" operator="equal">
      <formula>0</formula>
    </cfRule>
  </conditionalFormatting>
  <conditionalFormatting sqref="AQ82:AQ100">
    <cfRule type="cellIs" dxfId="4" priority="6" operator="equal">
      <formula>0</formula>
    </cfRule>
  </conditionalFormatting>
  <pageMargins left="0.70866141732283505" right="0.70866141732283505" top="0.74803149606299202" bottom="0.74803149606299202" header="0.31496062992126" footer="0.31496062992126"/>
  <pageSetup paperSize="8" scale="47" orientation="landscape" r:id="rId1"/>
  <colBreaks count="1" manualBreakCount="1">
    <brk id="43" max="1048575" man="1"/>
  </col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0.249977111117893"/>
    <pageSetUpPr fitToPage="1"/>
  </sheetPr>
  <dimension ref="A1:Q517"/>
  <sheetViews>
    <sheetView showGridLines="0" workbookViewId="0">
      <selection activeCell="B1" sqref="B1:Q1"/>
    </sheetView>
  </sheetViews>
  <sheetFormatPr baseColWidth="10" defaultColWidth="11.44140625" defaultRowHeight="14.4"/>
  <cols>
    <col min="1" max="1" width="3.109375" style="46" customWidth="1"/>
    <col min="2" max="2" width="4.88671875" style="47" customWidth="1"/>
    <col min="3" max="3" width="41.33203125" style="48" customWidth="1"/>
    <col min="4" max="6" width="5.6640625" style="48" customWidth="1"/>
    <col min="7" max="7" width="7.33203125" style="48" customWidth="1"/>
    <col min="8" max="17" width="5.6640625" style="48" customWidth="1"/>
    <col min="18" max="20" width="3.33203125" style="48" customWidth="1"/>
    <col min="21" max="16384" width="11.44140625" style="48"/>
  </cols>
  <sheetData>
    <row r="1" spans="2:17" ht="15" customHeight="1">
      <c r="B1" s="563" t="s">
        <v>538</v>
      </c>
      <c r="C1" s="563"/>
      <c r="D1" s="563"/>
      <c r="E1" s="563"/>
      <c r="F1" s="563"/>
      <c r="G1" s="563"/>
      <c r="H1" s="563"/>
      <c r="I1" s="563"/>
      <c r="J1" s="563"/>
      <c r="K1" s="563"/>
      <c r="L1" s="563"/>
      <c r="M1" s="563"/>
      <c r="N1" s="563"/>
      <c r="O1" s="563"/>
      <c r="P1" s="563"/>
      <c r="Q1" s="563"/>
    </row>
    <row r="2" spans="2:17" ht="3.75" customHeight="1">
      <c r="B2" s="49"/>
      <c r="C2" s="50"/>
      <c r="D2" s="50"/>
      <c r="E2" s="50"/>
      <c r="F2" s="50"/>
      <c r="G2" s="50"/>
      <c r="H2" s="50"/>
      <c r="I2" s="50"/>
      <c r="J2" s="50"/>
      <c r="K2" s="50"/>
      <c r="L2" s="50"/>
      <c r="M2" s="50"/>
      <c r="N2" s="50"/>
      <c r="O2" s="50"/>
      <c r="P2" s="50"/>
      <c r="Q2" s="50"/>
    </row>
    <row r="3" spans="2:17" ht="22.5" customHeight="1">
      <c r="B3" s="744" t="s">
        <v>95</v>
      </c>
      <c r="C3" s="745"/>
      <c r="D3" s="244"/>
      <c r="E3" s="245"/>
      <c r="F3" s="245"/>
      <c r="G3" s="246"/>
      <c r="H3" s="244"/>
      <c r="I3" s="245"/>
      <c r="J3" s="245"/>
      <c r="K3" s="245"/>
      <c r="L3" s="246"/>
      <c r="M3" s="244"/>
      <c r="N3" s="703" t="s">
        <v>539</v>
      </c>
      <c r="O3" s="703"/>
      <c r="P3" s="703"/>
      <c r="Q3" s="704"/>
    </row>
    <row r="4" spans="2:17" ht="15" customHeight="1">
      <c r="B4" s="51" t="s">
        <v>540</v>
      </c>
      <c r="C4" s="734" t="s">
        <v>541</v>
      </c>
      <c r="D4" s="734"/>
      <c r="E4" s="734"/>
      <c r="F4" s="734"/>
      <c r="G4" s="734"/>
      <c r="H4" s="734"/>
      <c r="I4" s="734"/>
      <c r="J4" s="734"/>
      <c r="K4" s="734"/>
      <c r="L4" s="734"/>
      <c r="M4" s="734"/>
      <c r="N4" s="746">
        <f>N5+N6</f>
        <v>44392.934250000006</v>
      </c>
      <c r="O4" s="746"/>
      <c r="P4" s="746"/>
      <c r="Q4" s="746"/>
    </row>
    <row r="5" spans="2:17" ht="15" customHeight="1">
      <c r="B5" s="51"/>
      <c r="C5" s="89" t="s">
        <v>542</v>
      </c>
      <c r="D5" s="719"/>
      <c r="E5" s="720"/>
      <c r="F5" s="720"/>
      <c r="G5" s="720"/>
      <c r="H5" s="720"/>
      <c r="I5" s="720"/>
      <c r="J5" s="720"/>
      <c r="K5" s="720"/>
      <c r="L5" s="720"/>
      <c r="M5" s="721"/>
      <c r="N5" s="746">
        <f>'C.1.1.Vestuario_Equip'!I14</f>
        <v>18648</v>
      </c>
      <c r="O5" s="746"/>
      <c r="P5" s="746"/>
      <c r="Q5" s="746"/>
    </row>
    <row r="6" spans="2:17" ht="15" customHeight="1">
      <c r="B6" s="51"/>
      <c r="C6" s="89" t="s">
        <v>543</v>
      </c>
      <c r="D6" s="90"/>
      <c r="E6" s="91"/>
      <c r="F6" s="91"/>
      <c r="G6" s="91"/>
      <c r="H6" s="91"/>
      <c r="I6" s="91"/>
      <c r="J6" s="91"/>
      <c r="K6" s="91"/>
      <c r="L6" s="91"/>
      <c r="M6" s="92"/>
      <c r="N6" s="746">
        <f>'C.1.2.PRL'!K34</f>
        <v>25744.934250000006</v>
      </c>
      <c r="O6" s="746"/>
      <c r="P6" s="746"/>
      <c r="Q6" s="746"/>
    </row>
    <row r="7" spans="2:17" ht="15" customHeight="1">
      <c r="B7" s="51" t="s">
        <v>544</v>
      </c>
      <c r="C7" s="734" t="s">
        <v>545</v>
      </c>
      <c r="D7" s="734"/>
      <c r="E7" s="734"/>
      <c r="F7" s="734"/>
      <c r="G7" s="734"/>
      <c r="H7" s="734"/>
      <c r="I7" s="734"/>
      <c r="J7" s="734"/>
      <c r="K7" s="734"/>
      <c r="L7" s="734"/>
      <c r="M7" s="734"/>
      <c r="N7" s="746">
        <f>'C.2. Herramientas'!K90</f>
        <v>14497.693875000001</v>
      </c>
      <c r="O7" s="746"/>
      <c r="P7" s="746"/>
      <c r="Q7" s="746"/>
    </row>
    <row r="8" spans="2:17" ht="15" customHeight="1">
      <c r="B8" s="476" t="s">
        <v>546</v>
      </c>
      <c r="C8" s="476"/>
      <c r="D8" s="462"/>
      <c r="E8" s="463"/>
      <c r="F8" s="463"/>
      <c r="G8" s="463"/>
      <c r="H8" s="464"/>
      <c r="I8" s="464"/>
      <c r="J8" s="464"/>
      <c r="K8" s="464"/>
      <c r="L8" s="464"/>
      <c r="M8" s="464"/>
      <c r="N8" s="764">
        <f>N7+N4</f>
        <v>58890.628125000003</v>
      </c>
      <c r="O8" s="764"/>
      <c r="P8" s="764"/>
      <c r="Q8" s="764"/>
    </row>
    <row r="9" spans="2:17" s="46" customFormat="1" ht="15" customHeight="1">
      <c r="B9" s="47"/>
      <c r="C9" s="48"/>
      <c r="D9" s="48"/>
      <c r="E9" s="48"/>
      <c r="F9" s="48"/>
      <c r="G9" s="48"/>
      <c r="H9" s="48"/>
      <c r="I9" s="48"/>
      <c r="J9" s="48"/>
      <c r="K9" s="48"/>
      <c r="L9" s="48"/>
      <c r="M9" s="48"/>
      <c r="N9" s="48"/>
      <c r="O9" s="48"/>
      <c r="P9" s="48"/>
      <c r="Q9" s="48"/>
    </row>
    <row r="10" spans="2:17" s="46" customFormat="1" ht="15" customHeight="1">
      <c r="B10" s="47"/>
      <c r="C10" s="48"/>
      <c r="D10" s="48"/>
      <c r="E10" s="48"/>
      <c r="F10" s="48"/>
      <c r="G10" s="48"/>
      <c r="H10" s="48"/>
      <c r="I10" s="48"/>
      <c r="J10" s="48"/>
      <c r="K10" s="48"/>
      <c r="L10" s="48"/>
      <c r="M10" s="48"/>
      <c r="N10" s="48"/>
      <c r="O10" s="48"/>
      <c r="P10" s="48"/>
      <c r="Q10" s="48"/>
    </row>
    <row r="11" spans="2:17" s="46" customFormat="1" ht="15" customHeight="1">
      <c r="B11" s="47"/>
      <c r="C11" s="70" t="s">
        <v>255</v>
      </c>
      <c r="D11" s="71">
        <v>0.05</v>
      </c>
      <c r="E11" s="48"/>
      <c r="F11" s="48"/>
      <c r="G11" s="48"/>
      <c r="H11" s="48"/>
      <c r="I11" s="48"/>
      <c r="J11" s="48"/>
      <c r="K11" s="48"/>
      <c r="L11" s="48"/>
      <c r="M11" s="48"/>
      <c r="N11" s="48"/>
      <c r="O11" s="48"/>
      <c r="P11" s="48"/>
      <c r="Q11" s="48"/>
    </row>
    <row r="12" spans="2:17" s="46" customFormat="1" ht="15" customHeight="1">
      <c r="B12" s="47"/>
      <c r="C12" s="48"/>
      <c r="D12" s="48"/>
      <c r="E12" s="48"/>
      <c r="F12" s="48"/>
      <c r="G12" s="48"/>
      <c r="H12" s="48"/>
      <c r="I12" s="48"/>
      <c r="J12" s="48"/>
      <c r="K12" s="48"/>
      <c r="L12" s="48"/>
      <c r="M12" s="48"/>
      <c r="N12" s="48"/>
      <c r="O12" s="48"/>
      <c r="P12" s="48"/>
      <c r="Q12" s="48"/>
    </row>
    <row r="13" spans="2:17" s="46" customFormat="1" ht="15" hidden="1" customHeight="1">
      <c r="B13" s="47"/>
      <c r="C13" s="48"/>
      <c r="D13" s="48"/>
      <c r="E13" s="48"/>
      <c r="F13" s="48"/>
      <c r="G13" s="48"/>
      <c r="H13" s="48"/>
      <c r="I13" s="48"/>
      <c r="J13" s="48"/>
      <c r="K13" s="48"/>
      <c r="L13" s="48"/>
      <c r="M13" s="48"/>
      <c r="N13" s="48"/>
      <c r="O13" s="48"/>
      <c r="P13" s="48"/>
      <c r="Q13" s="48"/>
    </row>
    <row r="14" spans="2:17" s="46" customFormat="1" ht="15" hidden="1" customHeight="1">
      <c r="B14" s="790" t="s">
        <v>954</v>
      </c>
      <c r="C14" s="791"/>
      <c r="D14" s="792" t="s">
        <v>994</v>
      </c>
      <c r="E14" s="793"/>
      <c r="F14" s="793"/>
      <c r="G14" s="794"/>
      <c r="H14" s="792" t="s">
        <v>995</v>
      </c>
      <c r="I14" s="793"/>
      <c r="J14" s="793"/>
      <c r="K14" s="794"/>
      <c r="L14" s="792" t="s">
        <v>47</v>
      </c>
      <c r="M14" s="793"/>
      <c r="N14" s="793"/>
      <c r="O14" s="794"/>
    </row>
    <row r="15" spans="2:17" s="46" customFormat="1" ht="15" hidden="1" customHeight="1">
      <c r="B15" s="420" t="s">
        <v>1006</v>
      </c>
      <c r="C15" s="421" t="s">
        <v>541</v>
      </c>
      <c r="D15" s="798">
        <f>'C.1.1.Vestuario_Equip'!F14+'C.1.2.PRL'!H34</f>
        <v>42278.985000000001</v>
      </c>
      <c r="E15" s="799"/>
      <c r="F15" s="799"/>
      <c r="G15" s="800"/>
      <c r="H15" s="798">
        <f>'C.1.1.Vestuario_Equip'!H14+'C.1.2.PRL'!J34</f>
        <v>2113.9492500000006</v>
      </c>
      <c r="I15" s="799"/>
      <c r="J15" s="799"/>
      <c r="K15" s="800"/>
      <c r="L15" s="801">
        <f>D15+H15</f>
        <v>44392.934249999998</v>
      </c>
      <c r="M15" s="801"/>
      <c r="N15" s="801"/>
      <c r="O15" s="801"/>
    </row>
    <row r="16" spans="2:17" s="46" customFormat="1" ht="15" hidden="1" customHeight="1">
      <c r="B16" s="420" t="s">
        <v>544</v>
      </c>
      <c r="C16" s="421" t="s">
        <v>545</v>
      </c>
      <c r="D16" s="798">
        <f>'C.2. Herramientas'!H90</f>
        <v>13807.327500000003</v>
      </c>
      <c r="E16" s="799"/>
      <c r="F16" s="799"/>
      <c r="G16" s="800"/>
      <c r="H16" s="798">
        <f>'C.2. Herramientas'!J90</f>
        <v>690.36637500000018</v>
      </c>
      <c r="I16" s="799"/>
      <c r="J16" s="799"/>
      <c r="K16" s="800"/>
      <c r="L16" s="801">
        <f>D16+H16</f>
        <v>14497.693875000003</v>
      </c>
      <c r="M16" s="801"/>
      <c r="N16" s="801"/>
      <c r="O16" s="801"/>
    </row>
    <row r="17" spans="2:17" s="46" customFormat="1" ht="15" hidden="1" customHeight="1">
      <c r="B17" s="802" t="s">
        <v>1007</v>
      </c>
      <c r="C17" s="802"/>
      <c r="D17" s="803">
        <f>D15+D16</f>
        <v>56086.3125</v>
      </c>
      <c r="E17" s="803"/>
      <c r="F17" s="803"/>
      <c r="G17" s="803"/>
      <c r="H17" s="803">
        <f>H15+H16</f>
        <v>2804.3156250000006</v>
      </c>
      <c r="I17" s="803"/>
      <c r="J17" s="803"/>
      <c r="K17" s="803"/>
      <c r="L17" s="803">
        <f>L15+L16</f>
        <v>58890.628125000003</v>
      </c>
      <c r="M17" s="803"/>
      <c r="N17" s="803"/>
      <c r="O17" s="803"/>
    </row>
    <row r="18" spans="2:17" s="46" customFormat="1" ht="15" hidden="1" customHeight="1">
      <c r="B18" s="47"/>
      <c r="C18" s="48"/>
      <c r="D18" s="48"/>
      <c r="E18" s="48"/>
      <c r="F18" s="48"/>
      <c r="G18" s="48"/>
      <c r="H18" s="48"/>
      <c r="I18" s="48"/>
      <c r="J18" s="48"/>
      <c r="K18" s="48"/>
      <c r="L18" s="48"/>
      <c r="M18" s="48"/>
      <c r="N18" s="48"/>
      <c r="O18" s="48"/>
      <c r="P18" s="48"/>
      <c r="Q18" s="48"/>
    </row>
    <row r="19" spans="2:17" s="46" customFormat="1" ht="15" customHeight="1">
      <c r="B19" s="47"/>
      <c r="C19" s="48"/>
      <c r="D19" s="48"/>
      <c r="E19" s="48"/>
      <c r="F19" s="48"/>
      <c r="G19" s="48"/>
      <c r="H19" s="48"/>
      <c r="I19" s="48"/>
      <c r="J19" s="48"/>
      <c r="K19" s="48"/>
      <c r="L19" s="48"/>
      <c r="M19" s="48"/>
      <c r="N19" s="48"/>
      <c r="O19" s="48"/>
      <c r="P19" s="48"/>
      <c r="Q19" s="48"/>
    </row>
    <row r="20" spans="2:17" s="46" customFormat="1" ht="15" customHeight="1">
      <c r="B20" s="47"/>
      <c r="C20" s="48"/>
      <c r="D20" s="48"/>
      <c r="E20" s="48"/>
      <c r="F20" s="48"/>
      <c r="G20" s="48"/>
      <c r="H20" s="48"/>
      <c r="I20" s="48"/>
      <c r="J20" s="48"/>
      <c r="K20" s="48"/>
      <c r="L20" s="48"/>
      <c r="M20" s="48"/>
      <c r="N20" s="48"/>
      <c r="O20" s="48"/>
      <c r="P20" s="48"/>
      <c r="Q20" s="48"/>
    </row>
    <row r="21" spans="2:17" s="46" customFormat="1" ht="15" customHeight="1">
      <c r="B21" s="47"/>
      <c r="C21" s="48"/>
      <c r="D21" s="48"/>
      <c r="E21" s="48"/>
      <c r="F21" s="48"/>
      <c r="G21" s="48"/>
      <c r="H21" s="48"/>
      <c r="I21" s="48"/>
      <c r="J21" s="48"/>
      <c r="K21" s="48"/>
      <c r="L21" s="48"/>
      <c r="M21" s="48"/>
      <c r="N21" s="48"/>
      <c r="O21" s="48"/>
      <c r="P21" s="48"/>
      <c r="Q21" s="48"/>
    </row>
    <row r="22" spans="2:17" s="46" customFormat="1" ht="15" customHeight="1">
      <c r="B22" s="47"/>
      <c r="C22" s="48"/>
      <c r="D22" s="48"/>
      <c r="E22" s="48"/>
      <c r="F22" s="48"/>
      <c r="G22" s="48"/>
      <c r="H22" s="48"/>
      <c r="I22" s="48"/>
      <c r="J22" s="48"/>
      <c r="K22" s="48"/>
      <c r="L22" s="48"/>
      <c r="M22" s="48"/>
      <c r="N22" s="48"/>
      <c r="O22" s="48"/>
      <c r="P22" s="48"/>
      <c r="Q22" s="48"/>
    </row>
    <row r="23" spans="2:17" s="46" customFormat="1" ht="15" customHeight="1">
      <c r="B23" s="47"/>
      <c r="C23" s="48"/>
      <c r="D23" s="48"/>
      <c r="E23" s="48"/>
      <c r="F23" s="48"/>
      <c r="G23" s="48"/>
      <c r="H23" s="48"/>
      <c r="I23" s="48"/>
      <c r="J23" s="48"/>
      <c r="K23" s="48"/>
      <c r="L23" s="48"/>
      <c r="M23" s="48"/>
      <c r="N23" s="48"/>
      <c r="O23" s="48"/>
      <c r="P23" s="48"/>
      <c r="Q23" s="48"/>
    </row>
    <row r="24" spans="2:17" s="46" customFormat="1" ht="15" customHeight="1">
      <c r="B24" s="47"/>
      <c r="C24" s="48"/>
      <c r="D24" s="48"/>
      <c r="E24" s="48"/>
      <c r="F24" s="48"/>
      <c r="G24" s="48"/>
      <c r="H24" s="48"/>
      <c r="I24" s="48"/>
      <c r="J24" s="48"/>
      <c r="K24" s="48"/>
      <c r="L24" s="48"/>
      <c r="M24" s="48"/>
      <c r="N24" s="48"/>
      <c r="O24" s="48"/>
      <c r="P24" s="48"/>
      <c r="Q24" s="48"/>
    </row>
    <row r="25" spans="2:17" s="46" customFormat="1" ht="15" customHeight="1">
      <c r="B25" s="47"/>
      <c r="C25" s="48"/>
      <c r="D25" s="48"/>
      <c r="E25" s="48"/>
      <c r="F25" s="48"/>
      <c r="G25" s="48"/>
      <c r="H25" s="48"/>
      <c r="I25" s="48"/>
      <c r="J25" s="48"/>
      <c r="K25" s="48"/>
      <c r="L25" s="48"/>
      <c r="M25" s="48"/>
      <c r="N25" s="48"/>
      <c r="O25" s="48"/>
      <c r="P25" s="48"/>
      <c r="Q25" s="48"/>
    </row>
    <row r="26" spans="2:17" s="46" customFormat="1" ht="15" customHeight="1">
      <c r="B26" s="47"/>
      <c r="C26" s="48"/>
      <c r="D26" s="48"/>
      <c r="E26" s="48"/>
      <c r="F26" s="48"/>
      <c r="G26" s="48"/>
      <c r="H26" s="48"/>
      <c r="I26" s="48"/>
      <c r="J26" s="48"/>
      <c r="K26" s="48"/>
      <c r="L26" s="48"/>
      <c r="M26" s="48"/>
      <c r="N26" s="48"/>
      <c r="O26" s="48"/>
      <c r="P26" s="48"/>
      <c r="Q26" s="48"/>
    </row>
    <row r="27" spans="2:17" s="46" customFormat="1" ht="15" customHeight="1">
      <c r="B27" s="47"/>
      <c r="C27" s="48"/>
      <c r="D27" s="48"/>
      <c r="E27" s="48"/>
      <c r="F27" s="48"/>
      <c r="G27" s="48"/>
      <c r="H27" s="48"/>
      <c r="I27" s="48"/>
      <c r="J27" s="48"/>
      <c r="K27" s="48"/>
      <c r="L27" s="48"/>
      <c r="M27" s="48"/>
      <c r="N27" s="48"/>
      <c r="O27" s="48"/>
      <c r="P27" s="48"/>
      <c r="Q27" s="48"/>
    </row>
    <row r="28" spans="2:17" s="46" customFormat="1" ht="15" customHeight="1">
      <c r="B28" s="47"/>
      <c r="C28" s="48"/>
      <c r="D28" s="48"/>
      <c r="E28" s="48"/>
      <c r="F28" s="48"/>
      <c r="G28" s="48"/>
      <c r="H28" s="48"/>
      <c r="I28" s="48"/>
      <c r="J28" s="48"/>
      <c r="K28" s="48"/>
      <c r="L28" s="48"/>
      <c r="M28" s="48"/>
      <c r="N28" s="48"/>
      <c r="O28" s="48"/>
      <c r="P28" s="48"/>
      <c r="Q28" s="48"/>
    </row>
    <row r="29" spans="2:17" s="46" customFormat="1" ht="15" customHeight="1">
      <c r="B29" s="47"/>
      <c r="C29" s="48"/>
      <c r="D29" s="48"/>
      <c r="E29" s="48"/>
      <c r="F29" s="48"/>
      <c r="G29" s="48"/>
      <c r="H29" s="48"/>
      <c r="I29" s="48"/>
      <c r="J29" s="48"/>
      <c r="K29" s="48"/>
      <c r="L29" s="48"/>
      <c r="M29" s="48"/>
      <c r="N29" s="48"/>
      <c r="O29" s="48"/>
      <c r="P29" s="48"/>
      <c r="Q29" s="48"/>
    </row>
    <row r="30" spans="2:17" s="46" customFormat="1" ht="15" customHeight="1">
      <c r="B30" s="47"/>
      <c r="C30" s="48"/>
      <c r="D30" s="48"/>
      <c r="E30" s="48"/>
      <c r="F30" s="48"/>
      <c r="G30" s="48"/>
      <c r="H30" s="48"/>
      <c r="I30" s="48"/>
      <c r="J30" s="48"/>
      <c r="K30" s="48"/>
      <c r="L30" s="48"/>
      <c r="M30" s="48"/>
      <c r="N30" s="48"/>
      <c r="O30" s="48"/>
      <c r="P30" s="48"/>
      <c r="Q30" s="48"/>
    </row>
    <row r="31" spans="2:17" s="46" customFormat="1" ht="15" customHeight="1">
      <c r="B31" s="47"/>
      <c r="C31" s="48"/>
      <c r="D31" s="48"/>
      <c r="E31" s="48"/>
      <c r="F31" s="48"/>
      <c r="G31" s="48"/>
      <c r="H31" s="48"/>
      <c r="I31" s="48"/>
      <c r="J31" s="48"/>
      <c r="K31" s="48"/>
      <c r="L31" s="48"/>
      <c r="M31" s="48"/>
      <c r="N31" s="48"/>
      <c r="O31" s="48"/>
      <c r="P31" s="48"/>
      <c r="Q31" s="48"/>
    </row>
    <row r="32" spans="2:17" s="46" customFormat="1" ht="15" customHeight="1">
      <c r="B32" s="47"/>
      <c r="C32" s="48"/>
      <c r="D32" s="48"/>
      <c r="E32" s="48"/>
      <c r="F32" s="48"/>
      <c r="G32" s="48"/>
      <c r="H32" s="48"/>
      <c r="I32" s="48"/>
      <c r="J32" s="48"/>
      <c r="K32" s="48"/>
      <c r="L32" s="48"/>
      <c r="M32" s="48"/>
      <c r="N32" s="48"/>
      <c r="O32" s="48"/>
      <c r="P32" s="48"/>
      <c r="Q32" s="48"/>
    </row>
    <row r="33" spans="2:17" s="46" customFormat="1" ht="15" customHeight="1">
      <c r="B33" s="47"/>
      <c r="C33" s="48"/>
      <c r="D33" s="48"/>
      <c r="E33" s="48"/>
      <c r="F33" s="48"/>
      <c r="G33" s="48"/>
      <c r="H33" s="48"/>
      <c r="I33" s="48"/>
      <c r="J33" s="48"/>
      <c r="K33" s="48"/>
      <c r="L33" s="48"/>
      <c r="M33" s="48"/>
      <c r="N33" s="48"/>
      <c r="O33" s="48"/>
      <c r="P33" s="48"/>
      <c r="Q33" s="48"/>
    </row>
    <row r="34" spans="2:17" s="46" customFormat="1" ht="15" customHeight="1">
      <c r="B34" s="47"/>
      <c r="C34" s="48"/>
      <c r="D34" s="48"/>
      <c r="E34" s="48"/>
      <c r="F34" s="48"/>
      <c r="G34" s="48"/>
      <c r="H34" s="48"/>
      <c r="I34" s="48"/>
      <c r="J34" s="48"/>
      <c r="K34" s="48"/>
      <c r="L34" s="48"/>
      <c r="M34" s="48"/>
      <c r="N34" s="48"/>
      <c r="O34" s="48"/>
      <c r="P34" s="48"/>
      <c r="Q34" s="48"/>
    </row>
    <row r="35" spans="2:17" s="46" customFormat="1" ht="15" customHeight="1">
      <c r="B35" s="47"/>
      <c r="C35" s="48"/>
      <c r="D35" s="48"/>
      <c r="E35" s="48"/>
      <c r="F35" s="48"/>
      <c r="G35" s="48"/>
      <c r="H35" s="48"/>
      <c r="I35" s="48"/>
      <c r="J35" s="48"/>
      <c r="K35" s="48"/>
      <c r="L35" s="48"/>
      <c r="M35" s="48"/>
      <c r="N35" s="48"/>
      <c r="O35" s="48"/>
      <c r="P35" s="48"/>
      <c r="Q35" s="48"/>
    </row>
    <row r="36" spans="2:17" s="46" customFormat="1" ht="15" customHeight="1">
      <c r="B36" s="47"/>
      <c r="C36" s="48"/>
      <c r="D36" s="48"/>
      <c r="E36" s="48"/>
      <c r="F36" s="48"/>
      <c r="G36" s="48"/>
      <c r="H36" s="48"/>
      <c r="I36" s="48"/>
      <c r="J36" s="48"/>
      <c r="K36" s="48"/>
      <c r="L36" s="48"/>
      <c r="M36" s="48"/>
      <c r="N36" s="48"/>
      <c r="O36" s="48"/>
      <c r="P36" s="48"/>
      <c r="Q36" s="48"/>
    </row>
    <row r="37" spans="2:17" s="46" customFormat="1" ht="15" customHeight="1">
      <c r="B37" s="47"/>
      <c r="C37" s="48"/>
      <c r="D37" s="48"/>
      <c r="E37" s="48"/>
      <c r="F37" s="48"/>
      <c r="G37" s="48"/>
      <c r="H37" s="48"/>
      <c r="I37" s="48"/>
      <c r="J37" s="48"/>
      <c r="K37" s="48"/>
      <c r="L37" s="48"/>
      <c r="M37" s="48"/>
      <c r="N37" s="48"/>
      <c r="O37" s="48"/>
      <c r="P37" s="48"/>
      <c r="Q37" s="48"/>
    </row>
    <row r="38" spans="2:17" s="46" customFormat="1" ht="15" customHeight="1">
      <c r="B38" s="47"/>
      <c r="C38" s="48"/>
      <c r="D38" s="48"/>
      <c r="E38" s="48"/>
      <c r="F38" s="48"/>
      <c r="G38" s="48"/>
      <c r="H38" s="48"/>
      <c r="I38" s="48"/>
      <c r="J38" s="48"/>
      <c r="K38" s="48"/>
      <c r="L38" s="48"/>
      <c r="M38" s="48"/>
      <c r="N38" s="48"/>
      <c r="O38" s="48"/>
      <c r="P38" s="48"/>
      <c r="Q38" s="48"/>
    </row>
    <row r="39" spans="2:17" s="46" customFormat="1" ht="15" customHeight="1">
      <c r="B39" s="47"/>
      <c r="C39" s="48"/>
      <c r="D39" s="48"/>
      <c r="E39" s="48"/>
      <c r="F39" s="48"/>
      <c r="G39" s="48"/>
      <c r="H39" s="48"/>
      <c r="I39" s="48"/>
      <c r="J39" s="48"/>
      <c r="K39" s="48"/>
      <c r="L39" s="48"/>
      <c r="M39" s="48"/>
      <c r="N39" s="48"/>
      <c r="O39" s="48"/>
      <c r="P39" s="48"/>
      <c r="Q39" s="48"/>
    </row>
    <row r="40" spans="2:17" s="46" customFormat="1" ht="15" customHeight="1">
      <c r="B40" s="47"/>
      <c r="C40" s="48"/>
      <c r="D40" s="48"/>
      <c r="E40" s="48"/>
      <c r="F40" s="48"/>
      <c r="G40" s="48"/>
      <c r="H40" s="48"/>
      <c r="I40" s="48"/>
      <c r="J40" s="48"/>
      <c r="K40" s="48"/>
      <c r="L40" s="48"/>
      <c r="M40" s="48"/>
      <c r="N40" s="48"/>
      <c r="O40" s="48"/>
      <c r="P40" s="48"/>
      <c r="Q40" s="48"/>
    </row>
    <row r="41" spans="2:17" s="46" customFormat="1" ht="15" customHeight="1">
      <c r="B41" s="47"/>
      <c r="C41" s="48"/>
      <c r="D41" s="48"/>
      <c r="E41" s="48"/>
      <c r="F41" s="48"/>
      <c r="G41" s="48"/>
      <c r="H41" s="48"/>
      <c r="I41" s="48"/>
      <c r="J41" s="48"/>
      <c r="K41" s="48"/>
      <c r="L41" s="48"/>
      <c r="M41" s="48"/>
      <c r="N41" s="48"/>
      <c r="O41" s="48"/>
      <c r="P41" s="48"/>
      <c r="Q41" s="48"/>
    </row>
    <row r="42" spans="2:17" s="46" customFormat="1" ht="15" customHeight="1">
      <c r="B42" s="47"/>
      <c r="C42" s="48"/>
      <c r="D42" s="48"/>
      <c r="E42" s="48"/>
      <c r="F42" s="48"/>
      <c r="G42" s="48"/>
      <c r="H42" s="48"/>
      <c r="I42" s="48"/>
      <c r="J42" s="48"/>
      <c r="K42" s="48"/>
      <c r="L42" s="48"/>
      <c r="M42" s="48"/>
      <c r="N42" s="48"/>
      <c r="O42" s="48"/>
      <c r="P42" s="48"/>
      <c r="Q42" s="48"/>
    </row>
    <row r="43" spans="2:17" s="46" customFormat="1" ht="15" customHeight="1">
      <c r="B43" s="47"/>
      <c r="C43" s="48"/>
      <c r="D43" s="48"/>
      <c r="E43" s="48"/>
      <c r="F43" s="48"/>
      <c r="G43" s="48"/>
      <c r="H43" s="48"/>
      <c r="I43" s="48"/>
      <c r="J43" s="48"/>
      <c r="K43" s="48"/>
      <c r="L43" s="48"/>
      <c r="M43" s="48"/>
      <c r="N43" s="48"/>
      <c r="O43" s="48"/>
      <c r="P43" s="48"/>
      <c r="Q43" s="48"/>
    </row>
    <row r="44" spans="2:17" s="46" customFormat="1" ht="15" customHeight="1">
      <c r="B44" s="47"/>
      <c r="C44" s="48"/>
      <c r="D44" s="48"/>
      <c r="E44" s="48"/>
      <c r="F44" s="48"/>
      <c r="G44" s="48"/>
      <c r="H44" s="48"/>
      <c r="I44" s="48"/>
      <c r="J44" s="48"/>
      <c r="K44" s="48"/>
      <c r="L44" s="48"/>
      <c r="M44" s="48"/>
      <c r="N44" s="48"/>
      <c r="O44" s="48"/>
      <c r="P44" s="48"/>
      <c r="Q44" s="48"/>
    </row>
    <row r="45" spans="2:17" s="46" customFormat="1" ht="15" customHeight="1">
      <c r="B45" s="47"/>
      <c r="C45" s="48"/>
      <c r="D45" s="48"/>
      <c r="E45" s="48"/>
      <c r="F45" s="48"/>
      <c r="G45" s="48"/>
      <c r="H45" s="48"/>
      <c r="I45" s="48"/>
      <c r="J45" s="48"/>
      <c r="K45" s="48"/>
      <c r="L45" s="48"/>
      <c r="M45" s="48"/>
      <c r="N45" s="48"/>
      <c r="O45" s="48"/>
      <c r="P45" s="48"/>
      <c r="Q45" s="48"/>
    </row>
    <row r="46" spans="2:17" s="46" customFormat="1" ht="15" customHeight="1">
      <c r="B46" s="47"/>
      <c r="C46" s="48"/>
      <c r="D46" s="48"/>
      <c r="E46" s="48"/>
      <c r="F46" s="48"/>
      <c r="G46" s="48"/>
      <c r="H46" s="48"/>
      <c r="I46" s="48"/>
      <c r="J46" s="48"/>
      <c r="K46" s="48"/>
      <c r="L46" s="48"/>
      <c r="M46" s="48"/>
      <c r="N46" s="48"/>
      <c r="O46" s="48"/>
      <c r="P46" s="48"/>
      <c r="Q46" s="48"/>
    </row>
    <row r="47" spans="2:17" s="46" customFormat="1" ht="15" customHeight="1">
      <c r="B47" s="47"/>
      <c r="C47" s="48"/>
      <c r="D47" s="48"/>
      <c r="E47" s="48"/>
      <c r="F47" s="48"/>
      <c r="G47" s="48"/>
      <c r="H47" s="48"/>
      <c r="I47" s="48"/>
      <c r="J47" s="48"/>
      <c r="K47" s="48"/>
      <c r="L47" s="48"/>
      <c r="M47" s="48"/>
      <c r="N47" s="48"/>
      <c r="O47" s="48"/>
      <c r="P47" s="48"/>
      <c r="Q47" s="48"/>
    </row>
    <row r="48" spans="2:17" s="46" customFormat="1" ht="15" customHeight="1">
      <c r="B48" s="47"/>
      <c r="C48" s="48"/>
      <c r="D48" s="48"/>
      <c r="E48" s="48"/>
      <c r="F48" s="48"/>
      <c r="G48" s="48"/>
      <c r="H48" s="48"/>
      <c r="I48" s="48"/>
      <c r="J48" s="48"/>
      <c r="K48" s="48"/>
      <c r="L48" s="48"/>
      <c r="M48" s="48"/>
      <c r="N48" s="48"/>
      <c r="O48" s="48"/>
      <c r="P48" s="48"/>
      <c r="Q48" s="48"/>
    </row>
    <row r="49" spans="2:17" s="46" customFormat="1" ht="15" customHeight="1">
      <c r="B49" s="47"/>
      <c r="C49" s="48"/>
      <c r="D49" s="48"/>
      <c r="E49" s="48"/>
      <c r="F49" s="48"/>
      <c r="G49" s="48"/>
      <c r="H49" s="48"/>
      <c r="I49" s="48"/>
      <c r="J49" s="48"/>
      <c r="K49" s="48"/>
      <c r="L49" s="48"/>
      <c r="M49" s="48"/>
      <c r="N49" s="48"/>
      <c r="O49" s="48"/>
      <c r="P49" s="48"/>
      <c r="Q49" s="48"/>
    </row>
    <row r="50" spans="2:17" s="46" customFormat="1" ht="15" customHeight="1">
      <c r="B50" s="47"/>
      <c r="C50" s="48"/>
      <c r="D50" s="48"/>
      <c r="E50" s="48"/>
      <c r="F50" s="48"/>
      <c r="G50" s="48"/>
      <c r="H50" s="48"/>
      <c r="I50" s="48"/>
      <c r="J50" s="48"/>
      <c r="K50" s="48"/>
      <c r="L50" s="48"/>
      <c r="M50" s="48"/>
      <c r="N50" s="48"/>
      <c r="O50" s="48"/>
      <c r="P50" s="48"/>
      <c r="Q50" s="48"/>
    </row>
    <row r="51" spans="2:17" s="46" customFormat="1" ht="15" customHeight="1">
      <c r="B51" s="47"/>
      <c r="C51" s="48"/>
      <c r="D51" s="48"/>
      <c r="E51" s="48"/>
      <c r="F51" s="48"/>
      <c r="G51" s="48"/>
      <c r="H51" s="48"/>
      <c r="I51" s="48"/>
      <c r="J51" s="48"/>
      <c r="K51" s="48"/>
      <c r="L51" s="48"/>
      <c r="M51" s="48"/>
      <c r="N51" s="48"/>
      <c r="O51" s="48"/>
      <c r="P51" s="48"/>
      <c r="Q51" s="48"/>
    </row>
    <row r="52" spans="2:17" s="46" customFormat="1" ht="15" customHeight="1">
      <c r="B52" s="47"/>
      <c r="C52" s="48"/>
      <c r="D52" s="48"/>
      <c r="E52" s="48"/>
      <c r="F52" s="48"/>
      <c r="G52" s="48"/>
      <c r="H52" s="48"/>
      <c r="I52" s="48"/>
      <c r="J52" s="48"/>
      <c r="K52" s="48"/>
      <c r="L52" s="48"/>
      <c r="M52" s="48"/>
      <c r="N52" s="48"/>
      <c r="O52" s="48"/>
      <c r="P52" s="48"/>
      <c r="Q52" s="48"/>
    </row>
    <row r="53" spans="2:17" s="46" customFormat="1" ht="15" customHeight="1">
      <c r="B53" s="47"/>
      <c r="C53" s="48"/>
      <c r="D53" s="48"/>
      <c r="E53" s="48"/>
      <c r="F53" s="48"/>
      <c r="G53" s="48"/>
      <c r="H53" s="48"/>
      <c r="I53" s="48"/>
      <c r="J53" s="48"/>
      <c r="K53" s="48"/>
      <c r="L53" s="48"/>
      <c r="M53" s="48"/>
      <c r="N53" s="48"/>
      <c r="O53" s="48"/>
      <c r="P53" s="48"/>
      <c r="Q53" s="48"/>
    </row>
    <row r="54" spans="2:17" s="46" customFormat="1" ht="15" customHeight="1">
      <c r="B54" s="47"/>
      <c r="C54" s="48"/>
      <c r="D54" s="48"/>
      <c r="E54" s="48"/>
      <c r="F54" s="48"/>
      <c r="G54" s="48"/>
      <c r="H54" s="48"/>
      <c r="I54" s="48"/>
      <c r="J54" s="48"/>
      <c r="K54" s="48"/>
      <c r="L54" s="48"/>
      <c r="M54" s="48"/>
      <c r="N54" s="48"/>
      <c r="O54" s="48"/>
      <c r="P54" s="48"/>
      <c r="Q54" s="48"/>
    </row>
    <row r="55" spans="2:17" s="46" customFormat="1" ht="15" customHeight="1">
      <c r="B55" s="47"/>
      <c r="C55" s="48"/>
      <c r="D55" s="48"/>
      <c r="E55" s="48"/>
      <c r="F55" s="48"/>
      <c r="G55" s="48"/>
      <c r="H55" s="48"/>
      <c r="I55" s="48"/>
      <c r="J55" s="48"/>
      <c r="K55" s="48"/>
      <c r="L55" s="48"/>
      <c r="M55" s="48"/>
      <c r="N55" s="48"/>
      <c r="O55" s="48"/>
      <c r="P55" s="48"/>
      <c r="Q55" s="48"/>
    </row>
    <row r="56" spans="2:17" s="46" customFormat="1" ht="15" customHeight="1">
      <c r="B56" s="47"/>
      <c r="C56" s="48"/>
      <c r="D56" s="48"/>
      <c r="E56" s="48"/>
      <c r="F56" s="48"/>
      <c r="G56" s="48"/>
      <c r="H56" s="48"/>
      <c r="I56" s="48"/>
      <c r="J56" s="48"/>
      <c r="K56" s="48"/>
      <c r="L56" s="48"/>
      <c r="M56" s="48"/>
      <c r="N56" s="48"/>
      <c r="O56" s="48"/>
      <c r="P56" s="48"/>
      <c r="Q56" s="48"/>
    </row>
    <row r="57" spans="2:17" s="46" customFormat="1" ht="15" customHeight="1">
      <c r="B57" s="47"/>
      <c r="C57" s="48"/>
      <c r="D57" s="48"/>
      <c r="E57" s="48"/>
      <c r="F57" s="48"/>
      <c r="G57" s="48"/>
      <c r="H57" s="48"/>
      <c r="I57" s="48"/>
      <c r="J57" s="48"/>
      <c r="K57" s="48"/>
      <c r="L57" s="48"/>
      <c r="M57" s="48"/>
      <c r="N57" s="48"/>
      <c r="O57" s="48"/>
      <c r="P57" s="48"/>
      <c r="Q57" s="48"/>
    </row>
    <row r="58" spans="2:17" s="46" customFormat="1" ht="15" customHeight="1">
      <c r="B58" s="47"/>
      <c r="C58" s="48"/>
      <c r="D58" s="48"/>
      <c r="E58" s="48"/>
      <c r="F58" s="48"/>
      <c r="G58" s="48"/>
      <c r="H58" s="48"/>
      <c r="I58" s="48"/>
      <c r="J58" s="48"/>
      <c r="K58" s="48"/>
      <c r="L58" s="48"/>
      <c r="M58" s="48"/>
      <c r="N58" s="48"/>
      <c r="O58" s="48"/>
      <c r="P58" s="48"/>
      <c r="Q58" s="48"/>
    </row>
    <row r="59" spans="2:17" s="46" customFormat="1" ht="15" customHeight="1">
      <c r="B59" s="47"/>
      <c r="C59" s="48"/>
      <c r="D59" s="48"/>
      <c r="E59" s="48"/>
      <c r="F59" s="48"/>
      <c r="G59" s="48"/>
      <c r="H59" s="48"/>
      <c r="I59" s="48"/>
      <c r="J59" s="48"/>
      <c r="K59" s="48"/>
      <c r="L59" s="48"/>
      <c r="M59" s="48"/>
      <c r="N59" s="48"/>
      <c r="O59" s="48"/>
      <c r="P59" s="48"/>
      <c r="Q59" s="48"/>
    </row>
    <row r="60" spans="2:17" s="46" customFormat="1" ht="15" customHeight="1">
      <c r="B60" s="47"/>
      <c r="C60" s="48"/>
      <c r="D60" s="48"/>
      <c r="E60" s="48"/>
      <c r="F60" s="48"/>
      <c r="G60" s="48"/>
      <c r="H60" s="48"/>
      <c r="I60" s="48"/>
      <c r="J60" s="48"/>
      <c r="K60" s="48"/>
      <c r="L60" s="48"/>
      <c r="M60" s="48"/>
      <c r="N60" s="48"/>
      <c r="O60" s="48"/>
      <c r="P60" s="48"/>
      <c r="Q60" s="48"/>
    </row>
    <row r="61" spans="2:17" s="46" customFormat="1" ht="15" customHeight="1">
      <c r="B61" s="47"/>
      <c r="C61" s="48"/>
      <c r="D61" s="48"/>
      <c r="E61" s="48"/>
      <c r="F61" s="48"/>
      <c r="G61" s="48"/>
      <c r="H61" s="48"/>
      <c r="I61" s="48"/>
      <c r="J61" s="48"/>
      <c r="K61" s="48"/>
      <c r="L61" s="48"/>
      <c r="M61" s="48"/>
      <c r="N61" s="48"/>
      <c r="O61" s="48"/>
      <c r="P61" s="48"/>
      <c r="Q61" s="48"/>
    </row>
    <row r="62" spans="2:17" s="46" customFormat="1" ht="15" customHeight="1">
      <c r="B62" s="47"/>
      <c r="C62" s="48"/>
      <c r="D62" s="48"/>
      <c r="E62" s="48"/>
      <c r="F62" s="48"/>
      <c r="G62" s="48"/>
      <c r="H62" s="48"/>
      <c r="I62" s="48"/>
      <c r="J62" s="48"/>
      <c r="K62" s="48"/>
      <c r="L62" s="48"/>
      <c r="M62" s="48"/>
      <c r="N62" s="48"/>
      <c r="O62" s="48"/>
      <c r="P62" s="48"/>
      <c r="Q62" s="48"/>
    </row>
    <row r="63" spans="2:17" s="46" customFormat="1" ht="15" customHeight="1">
      <c r="B63" s="47"/>
      <c r="C63" s="48"/>
      <c r="D63" s="48"/>
      <c r="E63" s="48"/>
      <c r="F63" s="48"/>
      <c r="G63" s="48"/>
      <c r="H63" s="48"/>
      <c r="I63" s="48"/>
      <c r="J63" s="48"/>
      <c r="K63" s="48"/>
      <c r="L63" s="48"/>
      <c r="M63" s="48"/>
      <c r="N63" s="48"/>
      <c r="O63" s="48"/>
      <c r="P63" s="48"/>
      <c r="Q63" s="48"/>
    </row>
    <row r="64" spans="2:17" s="46" customFormat="1" ht="15" customHeight="1">
      <c r="B64" s="47"/>
      <c r="C64" s="48"/>
      <c r="D64" s="48"/>
      <c r="E64" s="48"/>
      <c r="F64" s="48"/>
      <c r="G64" s="48"/>
      <c r="H64" s="48"/>
      <c r="I64" s="48"/>
      <c r="J64" s="48"/>
      <c r="K64" s="48"/>
      <c r="L64" s="48"/>
      <c r="M64" s="48"/>
      <c r="N64" s="48"/>
      <c r="O64" s="48"/>
      <c r="P64" s="48"/>
      <c r="Q64" s="48"/>
    </row>
    <row r="65" spans="2:17" s="46" customFormat="1" ht="15" customHeight="1">
      <c r="B65" s="47"/>
      <c r="C65" s="48"/>
      <c r="D65" s="48"/>
      <c r="E65" s="48"/>
      <c r="F65" s="48"/>
      <c r="G65" s="48"/>
      <c r="H65" s="48"/>
      <c r="I65" s="48"/>
      <c r="J65" s="48"/>
      <c r="K65" s="48"/>
      <c r="L65" s="48"/>
      <c r="M65" s="48"/>
      <c r="N65" s="48"/>
      <c r="O65" s="48"/>
      <c r="P65" s="48"/>
      <c r="Q65" s="48"/>
    </row>
    <row r="66" spans="2:17" s="46" customFormat="1" ht="15" customHeight="1">
      <c r="B66" s="47"/>
      <c r="C66" s="48"/>
      <c r="D66" s="48"/>
      <c r="E66" s="48"/>
      <c r="F66" s="48"/>
      <c r="G66" s="48"/>
      <c r="H66" s="48"/>
      <c r="I66" s="48"/>
      <c r="J66" s="48"/>
      <c r="K66" s="48"/>
      <c r="L66" s="48"/>
      <c r="M66" s="48"/>
      <c r="N66" s="48"/>
      <c r="O66" s="48"/>
      <c r="P66" s="48"/>
      <c r="Q66" s="48"/>
    </row>
    <row r="67" spans="2:17" s="46" customFormat="1" ht="15" customHeight="1">
      <c r="B67" s="47"/>
      <c r="C67" s="48"/>
      <c r="D67" s="48"/>
      <c r="E67" s="48"/>
      <c r="F67" s="48"/>
      <c r="G67" s="48"/>
      <c r="H67" s="48"/>
      <c r="I67" s="48"/>
      <c r="J67" s="48"/>
      <c r="K67" s="48"/>
      <c r="L67" s="48"/>
      <c r="M67" s="48"/>
      <c r="N67" s="48"/>
      <c r="O67" s="48"/>
      <c r="P67" s="48"/>
      <c r="Q67" s="48"/>
    </row>
    <row r="68" spans="2:17" s="46" customFormat="1" ht="15" customHeight="1">
      <c r="B68" s="47"/>
      <c r="C68" s="48"/>
      <c r="D68" s="48"/>
      <c r="E68" s="48"/>
      <c r="F68" s="48"/>
      <c r="G68" s="48"/>
      <c r="H68" s="48"/>
      <c r="I68" s="48"/>
      <c r="J68" s="48"/>
      <c r="K68" s="48"/>
      <c r="L68" s="48"/>
      <c r="M68" s="48"/>
      <c r="N68" s="48"/>
      <c r="O68" s="48"/>
      <c r="P68" s="48"/>
      <c r="Q68" s="48"/>
    </row>
    <row r="69" spans="2:17" s="46" customFormat="1" ht="15" customHeight="1">
      <c r="B69" s="47"/>
      <c r="C69" s="48"/>
      <c r="D69" s="48"/>
      <c r="E69" s="48"/>
      <c r="F69" s="48"/>
      <c r="G69" s="48"/>
      <c r="H69" s="48"/>
      <c r="I69" s="48"/>
      <c r="J69" s="48"/>
      <c r="K69" s="48"/>
      <c r="L69" s="48"/>
      <c r="M69" s="48"/>
      <c r="N69" s="48"/>
      <c r="O69" s="48"/>
      <c r="P69" s="48"/>
      <c r="Q69" s="48"/>
    </row>
    <row r="70" spans="2:17" s="46" customFormat="1" ht="15" customHeight="1">
      <c r="B70" s="47"/>
      <c r="C70" s="48"/>
      <c r="D70" s="48"/>
      <c r="E70" s="48"/>
      <c r="F70" s="48"/>
      <c r="G70" s="48"/>
      <c r="H70" s="48"/>
      <c r="I70" s="48"/>
      <c r="J70" s="48"/>
      <c r="K70" s="48"/>
      <c r="L70" s="48"/>
      <c r="M70" s="48"/>
      <c r="N70" s="48"/>
      <c r="O70" s="48"/>
      <c r="P70" s="48"/>
      <c r="Q70" s="48"/>
    </row>
    <row r="71" spans="2:17" s="46" customFormat="1" ht="15" customHeight="1">
      <c r="B71" s="47"/>
      <c r="C71" s="48"/>
      <c r="D71" s="48"/>
      <c r="E71" s="48"/>
      <c r="F71" s="48"/>
      <c r="G71" s="48"/>
      <c r="H71" s="48"/>
      <c r="I71" s="48"/>
      <c r="J71" s="48"/>
      <c r="K71" s="48"/>
      <c r="L71" s="48"/>
      <c r="M71" s="48"/>
      <c r="N71" s="48"/>
      <c r="O71" s="48"/>
      <c r="P71" s="48"/>
      <c r="Q71" s="48"/>
    </row>
    <row r="72" spans="2:17" s="46" customFormat="1" ht="15" customHeight="1">
      <c r="B72" s="47"/>
      <c r="C72" s="48"/>
      <c r="D72" s="48"/>
      <c r="E72" s="48"/>
      <c r="F72" s="48"/>
      <c r="G72" s="48"/>
      <c r="H72" s="48"/>
      <c r="I72" s="48"/>
      <c r="J72" s="48"/>
      <c r="K72" s="48"/>
      <c r="L72" s="48"/>
      <c r="M72" s="48"/>
      <c r="N72" s="48"/>
      <c r="O72" s="48"/>
      <c r="P72" s="48"/>
      <c r="Q72" s="48"/>
    </row>
    <row r="73" spans="2:17" s="46" customFormat="1" ht="15" customHeight="1">
      <c r="B73" s="47"/>
      <c r="C73" s="48"/>
      <c r="D73" s="48"/>
      <c r="E73" s="48"/>
      <c r="F73" s="48"/>
      <c r="G73" s="48"/>
      <c r="H73" s="48"/>
      <c r="I73" s="48"/>
      <c r="J73" s="48"/>
      <c r="K73" s="48"/>
      <c r="L73" s="48"/>
      <c r="M73" s="48"/>
      <c r="N73" s="48"/>
      <c r="O73" s="48"/>
      <c r="P73" s="48"/>
      <c r="Q73" s="48"/>
    </row>
    <row r="74" spans="2:17" s="46" customFormat="1" ht="15" customHeight="1">
      <c r="B74" s="47"/>
      <c r="C74" s="48"/>
      <c r="D74" s="48"/>
      <c r="E74" s="48"/>
      <c r="F74" s="48"/>
      <c r="G74" s="48"/>
      <c r="H74" s="48"/>
      <c r="I74" s="48"/>
      <c r="J74" s="48"/>
      <c r="K74" s="48"/>
      <c r="L74" s="48"/>
      <c r="M74" s="48"/>
      <c r="N74" s="48"/>
      <c r="O74" s="48"/>
      <c r="P74" s="48"/>
      <c r="Q74" s="48"/>
    </row>
    <row r="75" spans="2:17" s="46" customFormat="1" ht="15" customHeight="1">
      <c r="B75" s="47"/>
      <c r="C75" s="48"/>
      <c r="D75" s="48"/>
      <c r="E75" s="48"/>
      <c r="F75" s="48"/>
      <c r="G75" s="48"/>
      <c r="H75" s="48"/>
      <c r="I75" s="48"/>
      <c r="J75" s="48"/>
      <c r="K75" s="48"/>
      <c r="L75" s="48"/>
      <c r="M75" s="48"/>
      <c r="N75" s="48"/>
      <c r="O75" s="48"/>
      <c r="P75" s="48"/>
      <c r="Q75" s="48"/>
    </row>
    <row r="76" spans="2:17" s="46" customFormat="1" ht="15" customHeight="1">
      <c r="B76" s="47"/>
      <c r="C76" s="48"/>
      <c r="D76" s="48"/>
      <c r="E76" s="48"/>
      <c r="F76" s="48"/>
      <c r="G76" s="48"/>
      <c r="H76" s="48"/>
      <c r="I76" s="48"/>
      <c r="J76" s="48"/>
      <c r="K76" s="48"/>
      <c r="L76" s="48"/>
      <c r="M76" s="48"/>
      <c r="N76" s="48"/>
      <c r="O76" s="48"/>
      <c r="P76" s="48"/>
      <c r="Q76" s="48"/>
    </row>
    <row r="77" spans="2:17" s="46" customFormat="1" ht="15" customHeight="1">
      <c r="B77" s="47"/>
      <c r="C77" s="48"/>
      <c r="D77" s="48"/>
      <c r="E77" s="48"/>
      <c r="F77" s="48"/>
      <c r="G77" s="48"/>
      <c r="H77" s="48"/>
      <c r="I77" s="48"/>
      <c r="J77" s="48"/>
      <c r="K77" s="48"/>
      <c r="L77" s="48"/>
      <c r="M77" s="48"/>
      <c r="N77" s="48"/>
      <c r="O77" s="48"/>
      <c r="P77" s="48"/>
      <c r="Q77" s="48"/>
    </row>
    <row r="78" spans="2:17" s="46" customFormat="1" ht="15" customHeight="1">
      <c r="B78" s="47"/>
      <c r="C78" s="48"/>
      <c r="D78" s="48"/>
      <c r="E78" s="48"/>
      <c r="F78" s="48"/>
      <c r="G78" s="48"/>
      <c r="H78" s="48"/>
      <c r="I78" s="48"/>
      <c r="J78" s="48"/>
      <c r="K78" s="48"/>
      <c r="L78" s="48"/>
      <c r="M78" s="48"/>
      <c r="N78" s="48"/>
      <c r="O78" s="48"/>
      <c r="P78" s="48"/>
      <c r="Q78" s="48"/>
    </row>
    <row r="79" spans="2:17" s="46" customFormat="1" ht="15" customHeight="1">
      <c r="B79" s="47"/>
      <c r="C79" s="48"/>
      <c r="D79" s="48"/>
      <c r="E79" s="48"/>
      <c r="F79" s="48"/>
      <c r="G79" s="48"/>
      <c r="H79" s="48"/>
      <c r="I79" s="48"/>
      <c r="J79" s="48"/>
      <c r="K79" s="48"/>
      <c r="L79" s="48"/>
      <c r="M79" s="48"/>
      <c r="N79" s="48"/>
      <c r="O79" s="48"/>
      <c r="P79" s="48"/>
      <c r="Q79" s="48"/>
    </row>
    <row r="80" spans="2:17" s="46" customFormat="1" ht="15" customHeight="1">
      <c r="B80" s="47"/>
      <c r="C80" s="48"/>
      <c r="D80" s="48"/>
      <c r="E80" s="48"/>
      <c r="F80" s="48"/>
      <c r="G80" s="48"/>
      <c r="H80" s="48"/>
      <c r="I80" s="48"/>
      <c r="J80" s="48"/>
      <c r="K80" s="48"/>
      <c r="L80" s="48"/>
      <c r="M80" s="48"/>
      <c r="N80" s="48"/>
      <c r="O80" s="48"/>
      <c r="P80" s="48"/>
      <c r="Q80" s="48"/>
    </row>
    <row r="81" spans="2:17" s="46" customFormat="1" ht="15" customHeight="1">
      <c r="B81" s="47"/>
      <c r="C81" s="48"/>
      <c r="D81" s="48"/>
      <c r="E81" s="48"/>
      <c r="F81" s="48"/>
      <c r="G81" s="48"/>
      <c r="H81" s="48"/>
      <c r="I81" s="48"/>
      <c r="J81" s="48"/>
      <c r="K81" s="48"/>
      <c r="L81" s="48"/>
      <c r="M81" s="48"/>
      <c r="N81" s="48"/>
      <c r="O81" s="48"/>
      <c r="P81" s="48"/>
      <c r="Q81" s="48"/>
    </row>
    <row r="82" spans="2:17" s="46" customFormat="1" ht="15" customHeight="1">
      <c r="B82" s="47"/>
      <c r="C82" s="48"/>
      <c r="D82" s="48"/>
      <c r="E82" s="48"/>
      <c r="F82" s="48"/>
      <c r="G82" s="48"/>
      <c r="H82" s="48"/>
      <c r="I82" s="48"/>
      <c r="J82" s="48"/>
      <c r="K82" s="48"/>
      <c r="L82" s="48"/>
      <c r="M82" s="48"/>
      <c r="N82" s="48"/>
      <c r="O82" s="48"/>
      <c r="P82" s="48"/>
      <c r="Q82" s="48"/>
    </row>
    <row r="83" spans="2:17" s="46" customFormat="1" ht="15" customHeight="1">
      <c r="B83" s="47"/>
      <c r="C83" s="48"/>
      <c r="D83" s="48"/>
      <c r="E83" s="48"/>
      <c r="F83" s="48"/>
      <c r="G83" s="48"/>
      <c r="H83" s="48"/>
      <c r="I83" s="48"/>
      <c r="J83" s="48"/>
      <c r="K83" s="48"/>
      <c r="L83" s="48"/>
      <c r="M83" s="48"/>
      <c r="N83" s="48"/>
      <c r="O83" s="48"/>
      <c r="P83" s="48"/>
      <c r="Q83" s="48"/>
    </row>
    <row r="84" spans="2:17" s="46" customFormat="1" ht="15" customHeight="1">
      <c r="B84" s="47"/>
      <c r="C84" s="48"/>
      <c r="D84" s="48"/>
      <c r="E84" s="48"/>
      <c r="F84" s="48"/>
      <c r="G84" s="48"/>
      <c r="H84" s="48"/>
      <c r="I84" s="48"/>
      <c r="J84" s="48"/>
      <c r="K84" s="48"/>
      <c r="L84" s="48"/>
      <c r="M84" s="48"/>
      <c r="N84" s="48"/>
      <c r="O84" s="48"/>
      <c r="P84" s="48"/>
      <c r="Q84" s="48"/>
    </row>
    <row r="85" spans="2:17" s="46" customFormat="1" ht="15" customHeight="1">
      <c r="B85" s="47"/>
      <c r="C85" s="48"/>
      <c r="D85" s="48"/>
      <c r="E85" s="48"/>
      <c r="F85" s="48"/>
      <c r="G85" s="48"/>
      <c r="H85" s="48"/>
      <c r="I85" s="48"/>
      <c r="J85" s="48"/>
      <c r="K85" s="48"/>
      <c r="L85" s="48"/>
      <c r="M85" s="48"/>
      <c r="N85" s="48"/>
      <c r="O85" s="48"/>
      <c r="P85" s="48"/>
      <c r="Q85" s="48"/>
    </row>
    <row r="86" spans="2:17" s="46" customFormat="1" ht="15" customHeight="1">
      <c r="B86" s="47"/>
      <c r="C86" s="48"/>
      <c r="D86" s="48"/>
      <c r="E86" s="48"/>
      <c r="F86" s="48"/>
      <c r="G86" s="48"/>
      <c r="H86" s="48"/>
      <c r="I86" s="48"/>
      <c r="J86" s="48"/>
      <c r="K86" s="48"/>
      <c r="L86" s="48"/>
      <c r="M86" s="48"/>
      <c r="N86" s="48"/>
      <c r="O86" s="48"/>
      <c r="P86" s="48"/>
      <c r="Q86" s="48"/>
    </row>
    <row r="87" spans="2:17" s="46" customFormat="1" ht="15" customHeight="1">
      <c r="B87" s="47"/>
      <c r="C87" s="48"/>
      <c r="D87" s="48"/>
      <c r="E87" s="48"/>
      <c r="F87" s="48"/>
      <c r="G87" s="48"/>
      <c r="H87" s="48"/>
      <c r="I87" s="48"/>
      <c r="J87" s="48"/>
      <c r="K87" s="48"/>
      <c r="L87" s="48"/>
      <c r="M87" s="48"/>
      <c r="N87" s="48"/>
      <c r="O87" s="48"/>
      <c r="P87" s="48"/>
      <c r="Q87" s="48"/>
    </row>
    <row r="88" spans="2:17" s="46" customFormat="1" ht="15" customHeight="1">
      <c r="B88" s="47"/>
      <c r="C88" s="48"/>
      <c r="D88" s="48"/>
      <c r="E88" s="48"/>
      <c r="F88" s="48"/>
      <c r="G88" s="48"/>
      <c r="H88" s="48"/>
      <c r="I88" s="48"/>
      <c r="J88" s="48"/>
      <c r="K88" s="48"/>
      <c r="L88" s="48"/>
      <c r="M88" s="48"/>
      <c r="N88" s="48"/>
      <c r="O88" s="48"/>
      <c r="P88" s="48"/>
      <c r="Q88" s="48"/>
    </row>
    <row r="89" spans="2:17" s="46" customFormat="1" ht="15" customHeight="1">
      <c r="B89" s="47"/>
      <c r="C89" s="48"/>
      <c r="D89" s="48"/>
      <c r="E89" s="48"/>
      <c r="F89" s="48"/>
      <c r="G89" s="48"/>
      <c r="H89" s="48"/>
      <c r="I89" s="48"/>
      <c r="J89" s="48"/>
      <c r="K89" s="48"/>
      <c r="L89" s="48"/>
      <c r="M89" s="48"/>
      <c r="N89" s="48"/>
      <c r="O89" s="48"/>
      <c r="P89" s="48"/>
      <c r="Q89" s="48"/>
    </row>
    <row r="90" spans="2:17" s="46" customFormat="1" ht="15" customHeight="1">
      <c r="B90" s="47"/>
      <c r="C90" s="48"/>
      <c r="D90" s="48"/>
      <c r="E90" s="48"/>
      <c r="F90" s="48"/>
      <c r="G90" s="48"/>
      <c r="H90" s="48"/>
      <c r="I90" s="48"/>
      <c r="J90" s="48"/>
      <c r="K90" s="48"/>
      <c r="L90" s="48"/>
      <c r="M90" s="48"/>
      <c r="N90" s="48"/>
      <c r="O90" s="48"/>
      <c r="P90" s="48"/>
      <c r="Q90" s="48"/>
    </row>
    <row r="91" spans="2:17" s="46" customFormat="1" ht="15" customHeight="1">
      <c r="B91" s="47"/>
      <c r="C91" s="48"/>
      <c r="D91" s="48"/>
      <c r="E91" s="48"/>
      <c r="F91" s="48"/>
      <c r="G91" s="48"/>
      <c r="H91" s="48"/>
      <c r="I91" s="48"/>
      <c r="J91" s="48"/>
      <c r="K91" s="48"/>
      <c r="L91" s="48"/>
      <c r="M91" s="48"/>
      <c r="N91" s="48"/>
      <c r="O91" s="48"/>
      <c r="P91" s="48"/>
      <c r="Q91" s="48"/>
    </row>
    <row r="92" spans="2:17" s="46" customFormat="1" ht="15" customHeight="1">
      <c r="B92" s="47"/>
      <c r="C92" s="48"/>
      <c r="D92" s="48"/>
      <c r="E92" s="48"/>
      <c r="F92" s="48"/>
      <c r="G92" s="48"/>
      <c r="H92" s="48"/>
      <c r="I92" s="48"/>
      <c r="J92" s="48"/>
      <c r="K92" s="48"/>
      <c r="L92" s="48"/>
      <c r="M92" s="48"/>
      <c r="N92" s="48"/>
      <c r="O92" s="48"/>
      <c r="P92" s="48"/>
      <c r="Q92" s="48"/>
    </row>
    <row r="93" spans="2:17" s="46" customFormat="1" ht="15" customHeight="1">
      <c r="B93" s="47"/>
      <c r="C93" s="48"/>
      <c r="D93" s="48"/>
      <c r="E93" s="48"/>
      <c r="F93" s="48"/>
      <c r="G93" s="48"/>
      <c r="H93" s="48"/>
      <c r="I93" s="48"/>
      <c r="J93" s="48"/>
      <c r="K93" s="48"/>
      <c r="L93" s="48"/>
      <c r="M93" s="48"/>
      <c r="N93" s="48"/>
      <c r="O93" s="48"/>
      <c r="P93" s="48"/>
      <c r="Q93" s="48"/>
    </row>
    <row r="94" spans="2:17" s="46" customFormat="1" ht="15" customHeight="1">
      <c r="B94" s="47"/>
      <c r="C94" s="48"/>
      <c r="D94" s="48"/>
      <c r="E94" s="48"/>
      <c r="F94" s="48"/>
      <c r="G94" s="48"/>
      <c r="H94" s="48"/>
      <c r="I94" s="48"/>
      <c r="J94" s="48"/>
      <c r="K94" s="48"/>
      <c r="L94" s="48"/>
      <c r="M94" s="48"/>
      <c r="N94" s="48"/>
      <c r="O94" s="48"/>
      <c r="P94" s="48"/>
      <c r="Q94" s="48"/>
    </row>
    <row r="95" spans="2:17" s="46" customFormat="1" ht="15" customHeight="1">
      <c r="B95" s="47"/>
      <c r="C95" s="48"/>
      <c r="D95" s="48"/>
      <c r="E95" s="48"/>
      <c r="F95" s="48"/>
      <c r="G95" s="48"/>
      <c r="H95" s="48"/>
      <c r="I95" s="48"/>
      <c r="J95" s="48"/>
      <c r="K95" s="48"/>
      <c r="L95" s="48"/>
      <c r="M95" s="48"/>
      <c r="N95" s="48"/>
      <c r="O95" s="48"/>
      <c r="P95" s="48"/>
      <c r="Q95" s="48"/>
    </row>
    <row r="96" spans="2:17" s="46" customFormat="1" ht="15" customHeight="1">
      <c r="B96" s="47"/>
      <c r="C96" s="48"/>
      <c r="D96" s="48"/>
      <c r="E96" s="48"/>
      <c r="F96" s="48"/>
      <c r="G96" s="48"/>
      <c r="H96" s="48"/>
      <c r="I96" s="48"/>
      <c r="J96" s="48"/>
      <c r="K96" s="48"/>
      <c r="L96" s="48"/>
      <c r="M96" s="48"/>
      <c r="N96" s="48"/>
      <c r="O96" s="48"/>
      <c r="P96" s="48"/>
      <c r="Q96" s="48"/>
    </row>
    <row r="97" spans="2:17" s="46" customFormat="1" ht="15" customHeight="1">
      <c r="B97" s="47"/>
      <c r="C97" s="48"/>
      <c r="D97" s="48"/>
      <c r="E97" s="48"/>
      <c r="F97" s="48"/>
      <c r="G97" s="48"/>
      <c r="H97" s="48"/>
      <c r="I97" s="48"/>
      <c r="J97" s="48"/>
      <c r="K97" s="48"/>
      <c r="L97" s="48"/>
      <c r="M97" s="48"/>
      <c r="N97" s="48"/>
      <c r="O97" s="48"/>
      <c r="P97" s="48"/>
      <c r="Q97" s="48"/>
    </row>
    <row r="98" spans="2:17" s="46" customFormat="1" ht="15" customHeight="1">
      <c r="B98" s="47"/>
      <c r="C98" s="48"/>
      <c r="D98" s="48"/>
      <c r="E98" s="48"/>
      <c r="F98" s="48"/>
      <c r="G98" s="48"/>
      <c r="H98" s="48"/>
      <c r="I98" s="48"/>
      <c r="J98" s="48"/>
      <c r="K98" s="48"/>
      <c r="L98" s="48"/>
      <c r="M98" s="48"/>
      <c r="N98" s="48"/>
      <c r="O98" s="48"/>
      <c r="P98" s="48"/>
      <c r="Q98" s="48"/>
    </row>
    <row r="99" spans="2:17" s="46" customFormat="1" ht="15" customHeight="1">
      <c r="B99" s="47"/>
      <c r="C99" s="48"/>
      <c r="D99" s="48"/>
      <c r="E99" s="48"/>
      <c r="F99" s="48"/>
      <c r="G99" s="48"/>
      <c r="H99" s="48"/>
      <c r="I99" s="48"/>
      <c r="J99" s="48"/>
      <c r="K99" s="48"/>
      <c r="L99" s="48"/>
      <c r="M99" s="48"/>
      <c r="N99" s="48"/>
      <c r="O99" s="48"/>
      <c r="P99" s="48"/>
      <c r="Q99" s="48"/>
    </row>
    <row r="100" spans="2:17" s="46" customFormat="1" ht="15" customHeight="1">
      <c r="B100" s="47"/>
      <c r="C100" s="48"/>
      <c r="D100" s="48"/>
      <c r="E100" s="48"/>
      <c r="F100" s="48"/>
      <c r="G100" s="48"/>
      <c r="H100" s="48"/>
      <c r="I100" s="48"/>
      <c r="J100" s="48"/>
      <c r="K100" s="48"/>
      <c r="L100" s="48"/>
      <c r="M100" s="48"/>
      <c r="N100" s="48"/>
      <c r="O100" s="48"/>
      <c r="P100" s="48"/>
      <c r="Q100" s="48"/>
    </row>
    <row r="101" spans="2:17" s="46" customFormat="1" ht="15" customHeight="1">
      <c r="B101" s="47"/>
      <c r="C101" s="48"/>
      <c r="D101" s="48"/>
      <c r="E101" s="48"/>
      <c r="F101" s="48"/>
      <c r="G101" s="48"/>
      <c r="H101" s="48"/>
      <c r="I101" s="48"/>
      <c r="J101" s="48"/>
      <c r="K101" s="48"/>
      <c r="L101" s="48"/>
      <c r="M101" s="48"/>
      <c r="N101" s="48"/>
      <c r="O101" s="48"/>
      <c r="P101" s="48"/>
      <c r="Q101" s="48"/>
    </row>
    <row r="102" spans="2:17" s="46" customFormat="1" ht="15" customHeight="1">
      <c r="B102" s="47"/>
      <c r="C102" s="48"/>
      <c r="D102" s="48"/>
      <c r="E102" s="48"/>
      <c r="F102" s="48"/>
      <c r="G102" s="48"/>
      <c r="H102" s="48"/>
      <c r="I102" s="48"/>
      <c r="J102" s="48"/>
      <c r="K102" s="48"/>
      <c r="L102" s="48"/>
      <c r="M102" s="48"/>
      <c r="N102" s="48"/>
      <c r="O102" s="48"/>
      <c r="P102" s="48"/>
      <c r="Q102" s="48"/>
    </row>
    <row r="103" spans="2:17" s="46" customFormat="1" ht="15" customHeight="1">
      <c r="B103" s="47"/>
      <c r="C103" s="48"/>
      <c r="D103" s="48"/>
      <c r="E103" s="48"/>
      <c r="F103" s="48"/>
      <c r="G103" s="48"/>
      <c r="H103" s="48"/>
      <c r="I103" s="48"/>
      <c r="J103" s="48"/>
      <c r="K103" s="48"/>
      <c r="L103" s="48"/>
      <c r="M103" s="48"/>
      <c r="N103" s="48"/>
      <c r="O103" s="48"/>
      <c r="P103" s="48"/>
      <c r="Q103" s="48"/>
    </row>
    <row r="104" spans="2:17" s="46" customFormat="1" ht="15" customHeight="1">
      <c r="B104" s="47"/>
      <c r="C104" s="48"/>
      <c r="D104" s="48"/>
      <c r="E104" s="48"/>
      <c r="F104" s="48"/>
      <c r="G104" s="48"/>
      <c r="H104" s="48"/>
      <c r="I104" s="48"/>
      <c r="J104" s="48"/>
      <c r="K104" s="48"/>
      <c r="L104" s="48"/>
      <c r="M104" s="48"/>
      <c r="N104" s="48"/>
      <c r="O104" s="48"/>
      <c r="P104" s="48"/>
      <c r="Q104" s="48"/>
    </row>
    <row r="105" spans="2:17" s="46" customFormat="1" ht="15" customHeight="1">
      <c r="B105" s="47"/>
      <c r="C105" s="48"/>
      <c r="D105" s="48"/>
      <c r="E105" s="48"/>
      <c r="F105" s="48"/>
      <c r="G105" s="48"/>
      <c r="H105" s="48"/>
      <c r="I105" s="48"/>
      <c r="J105" s="48"/>
      <c r="K105" s="48"/>
      <c r="L105" s="48"/>
      <c r="M105" s="48"/>
      <c r="N105" s="48"/>
      <c r="O105" s="48"/>
      <c r="P105" s="48"/>
      <c r="Q105" s="48"/>
    </row>
    <row r="106" spans="2:17" s="46" customFormat="1" ht="15" customHeight="1">
      <c r="B106" s="47"/>
      <c r="C106" s="48"/>
      <c r="D106" s="48"/>
      <c r="E106" s="48"/>
      <c r="F106" s="48"/>
      <c r="G106" s="48"/>
      <c r="H106" s="48"/>
      <c r="I106" s="48"/>
      <c r="J106" s="48"/>
      <c r="K106" s="48"/>
      <c r="L106" s="48"/>
      <c r="M106" s="48"/>
      <c r="N106" s="48"/>
      <c r="O106" s="48"/>
      <c r="P106" s="48"/>
      <c r="Q106" s="48"/>
    </row>
    <row r="107" spans="2:17" s="46" customFormat="1" ht="15" customHeight="1">
      <c r="B107" s="47"/>
      <c r="C107" s="48"/>
      <c r="D107" s="48"/>
      <c r="E107" s="48"/>
      <c r="F107" s="48"/>
      <c r="G107" s="48"/>
      <c r="H107" s="48"/>
      <c r="I107" s="48"/>
      <c r="J107" s="48"/>
      <c r="K107" s="48"/>
      <c r="L107" s="48"/>
      <c r="M107" s="48"/>
      <c r="N107" s="48"/>
      <c r="O107" s="48"/>
      <c r="P107" s="48"/>
      <c r="Q107" s="48"/>
    </row>
    <row r="108" spans="2:17" s="46" customFormat="1" ht="15" customHeight="1">
      <c r="B108" s="47"/>
      <c r="C108" s="48"/>
      <c r="D108" s="48"/>
      <c r="E108" s="48"/>
      <c r="F108" s="48"/>
      <c r="G108" s="48"/>
      <c r="H108" s="48"/>
      <c r="I108" s="48"/>
      <c r="J108" s="48"/>
      <c r="K108" s="48"/>
      <c r="L108" s="48"/>
      <c r="M108" s="48"/>
      <c r="N108" s="48"/>
      <c r="O108" s="48"/>
      <c r="P108" s="48"/>
      <c r="Q108" s="48"/>
    </row>
    <row r="109" spans="2:17" s="46" customFormat="1" ht="15" customHeight="1">
      <c r="B109" s="47"/>
      <c r="C109" s="48"/>
      <c r="D109" s="48"/>
      <c r="E109" s="48"/>
      <c r="F109" s="48"/>
      <c r="G109" s="48"/>
      <c r="H109" s="48"/>
      <c r="I109" s="48"/>
      <c r="J109" s="48"/>
      <c r="K109" s="48"/>
      <c r="L109" s="48"/>
      <c r="M109" s="48"/>
      <c r="N109" s="48"/>
      <c r="O109" s="48"/>
      <c r="P109" s="48"/>
      <c r="Q109" s="48"/>
    </row>
    <row r="110" spans="2:17" s="46" customFormat="1" ht="15" customHeight="1">
      <c r="B110" s="47"/>
      <c r="C110" s="48"/>
      <c r="D110" s="48"/>
      <c r="E110" s="48"/>
      <c r="F110" s="48"/>
      <c r="G110" s="48"/>
      <c r="H110" s="48"/>
      <c r="I110" s="48"/>
      <c r="J110" s="48"/>
      <c r="K110" s="48"/>
      <c r="L110" s="48"/>
      <c r="M110" s="48"/>
      <c r="N110" s="48"/>
      <c r="O110" s="48"/>
      <c r="P110" s="48"/>
      <c r="Q110" s="48"/>
    </row>
    <row r="111" spans="2:17" s="46" customFormat="1" ht="15" customHeight="1">
      <c r="B111" s="47"/>
      <c r="C111" s="48"/>
      <c r="D111" s="48"/>
      <c r="E111" s="48"/>
      <c r="F111" s="48"/>
      <c r="G111" s="48"/>
      <c r="H111" s="48"/>
      <c r="I111" s="48"/>
      <c r="J111" s="48"/>
      <c r="K111" s="48"/>
      <c r="L111" s="48"/>
      <c r="M111" s="48"/>
      <c r="N111" s="48"/>
      <c r="O111" s="48"/>
      <c r="P111" s="48"/>
      <c r="Q111" s="48"/>
    </row>
    <row r="112" spans="2:17" s="46" customFormat="1" ht="15" customHeight="1">
      <c r="B112" s="47"/>
      <c r="C112" s="48"/>
      <c r="D112" s="48"/>
      <c r="E112" s="48"/>
      <c r="F112" s="48"/>
      <c r="G112" s="48"/>
      <c r="H112" s="48"/>
      <c r="I112" s="48"/>
      <c r="J112" s="48"/>
      <c r="K112" s="48"/>
      <c r="L112" s="48"/>
      <c r="M112" s="48"/>
      <c r="N112" s="48"/>
      <c r="O112" s="48"/>
      <c r="P112" s="48"/>
      <c r="Q112" s="48"/>
    </row>
    <row r="113" spans="2:17" s="46" customFormat="1" ht="15" customHeight="1">
      <c r="B113" s="47"/>
      <c r="C113" s="48"/>
      <c r="D113" s="48"/>
      <c r="E113" s="48"/>
      <c r="F113" s="48"/>
      <c r="G113" s="48"/>
      <c r="H113" s="48"/>
      <c r="I113" s="48"/>
      <c r="J113" s="48"/>
      <c r="K113" s="48"/>
      <c r="L113" s="48"/>
      <c r="M113" s="48"/>
      <c r="N113" s="48"/>
      <c r="O113" s="48"/>
      <c r="P113" s="48"/>
      <c r="Q113" s="48"/>
    </row>
    <row r="114" spans="2:17" s="46" customFormat="1" ht="15" customHeight="1">
      <c r="B114" s="47"/>
      <c r="C114" s="48"/>
      <c r="D114" s="48"/>
      <c r="E114" s="48"/>
      <c r="F114" s="48"/>
      <c r="G114" s="48"/>
      <c r="H114" s="48"/>
      <c r="I114" s="48"/>
      <c r="J114" s="48"/>
      <c r="K114" s="48"/>
      <c r="L114" s="48"/>
      <c r="M114" s="48"/>
      <c r="N114" s="48"/>
      <c r="O114" s="48"/>
      <c r="P114" s="48"/>
      <c r="Q114" s="48"/>
    </row>
    <row r="115" spans="2:17" s="46" customFormat="1" ht="15" customHeight="1">
      <c r="B115" s="47"/>
      <c r="C115" s="48"/>
      <c r="D115" s="48"/>
      <c r="E115" s="48"/>
      <c r="F115" s="48"/>
      <c r="G115" s="48"/>
      <c r="H115" s="48"/>
      <c r="I115" s="48"/>
      <c r="J115" s="48"/>
      <c r="K115" s="48"/>
      <c r="L115" s="48"/>
      <c r="M115" s="48"/>
      <c r="N115" s="48"/>
      <c r="O115" s="48"/>
      <c r="P115" s="48"/>
      <c r="Q115" s="48"/>
    </row>
    <row r="116" spans="2:17" s="46" customFormat="1" ht="15" customHeight="1">
      <c r="B116" s="47"/>
      <c r="C116" s="48"/>
      <c r="D116" s="48"/>
      <c r="E116" s="48"/>
      <c r="F116" s="48"/>
      <c r="G116" s="48"/>
      <c r="H116" s="48"/>
      <c r="I116" s="48"/>
      <c r="J116" s="48"/>
      <c r="K116" s="48"/>
      <c r="L116" s="48"/>
      <c r="M116" s="48"/>
      <c r="N116" s="48"/>
      <c r="O116" s="48"/>
      <c r="P116" s="48"/>
      <c r="Q116" s="48"/>
    </row>
    <row r="117" spans="2:17" s="46" customFormat="1" ht="15" customHeight="1">
      <c r="B117" s="47"/>
      <c r="C117" s="48"/>
      <c r="D117" s="48"/>
      <c r="E117" s="48"/>
      <c r="F117" s="48"/>
      <c r="G117" s="48"/>
      <c r="H117" s="48"/>
      <c r="I117" s="48"/>
      <c r="J117" s="48"/>
      <c r="K117" s="48"/>
      <c r="L117" s="48"/>
      <c r="M117" s="48"/>
      <c r="N117" s="48"/>
      <c r="O117" s="48"/>
      <c r="P117" s="48"/>
      <c r="Q117" s="48"/>
    </row>
    <row r="118" spans="2:17" s="46" customFormat="1" ht="15" customHeight="1">
      <c r="B118" s="47"/>
      <c r="C118" s="48"/>
      <c r="D118" s="48"/>
      <c r="E118" s="48"/>
      <c r="F118" s="48"/>
      <c r="G118" s="48"/>
      <c r="H118" s="48"/>
      <c r="I118" s="48"/>
      <c r="J118" s="48"/>
      <c r="K118" s="48"/>
      <c r="L118" s="48"/>
      <c r="M118" s="48"/>
      <c r="N118" s="48"/>
      <c r="O118" s="48"/>
      <c r="P118" s="48"/>
      <c r="Q118" s="48"/>
    </row>
    <row r="119" spans="2:17" s="46" customFormat="1" ht="15" customHeight="1">
      <c r="B119" s="47"/>
      <c r="C119" s="48"/>
      <c r="D119" s="48"/>
      <c r="E119" s="48"/>
      <c r="F119" s="48"/>
      <c r="G119" s="48"/>
      <c r="H119" s="48"/>
      <c r="I119" s="48"/>
      <c r="J119" s="48"/>
      <c r="K119" s="48"/>
      <c r="L119" s="48"/>
      <c r="M119" s="48"/>
      <c r="N119" s="48"/>
      <c r="O119" s="48"/>
      <c r="P119" s="48"/>
      <c r="Q119" s="48"/>
    </row>
    <row r="120" spans="2:17" s="46" customFormat="1" ht="15" customHeight="1">
      <c r="B120" s="47"/>
      <c r="C120" s="48"/>
      <c r="D120" s="48"/>
      <c r="E120" s="48"/>
      <c r="F120" s="48"/>
      <c r="G120" s="48"/>
      <c r="H120" s="48"/>
      <c r="I120" s="48"/>
      <c r="J120" s="48"/>
      <c r="K120" s="48"/>
      <c r="L120" s="48"/>
      <c r="M120" s="48"/>
      <c r="N120" s="48"/>
      <c r="O120" s="48"/>
      <c r="P120" s="48"/>
      <c r="Q120" s="48"/>
    </row>
    <row r="121" spans="2:17" s="46" customFormat="1" ht="15" customHeight="1">
      <c r="B121" s="47"/>
      <c r="C121" s="48"/>
      <c r="D121" s="48"/>
      <c r="E121" s="48"/>
      <c r="F121" s="48"/>
      <c r="G121" s="48"/>
      <c r="H121" s="48"/>
      <c r="I121" s="48"/>
      <c r="J121" s="48"/>
      <c r="K121" s="48"/>
      <c r="L121" s="48"/>
      <c r="M121" s="48"/>
      <c r="N121" s="48"/>
      <c r="O121" s="48"/>
      <c r="P121" s="48"/>
      <c r="Q121" s="48"/>
    </row>
    <row r="122" spans="2:17" s="46" customFormat="1" ht="15" customHeight="1">
      <c r="B122" s="47"/>
      <c r="C122" s="48"/>
      <c r="D122" s="48"/>
      <c r="E122" s="48"/>
      <c r="F122" s="48"/>
      <c r="G122" s="48"/>
      <c r="H122" s="48"/>
      <c r="I122" s="48"/>
      <c r="J122" s="48"/>
      <c r="K122" s="48"/>
      <c r="L122" s="48"/>
      <c r="M122" s="48"/>
      <c r="N122" s="48"/>
      <c r="O122" s="48"/>
      <c r="P122" s="48"/>
      <c r="Q122" s="48"/>
    </row>
    <row r="123" spans="2:17" s="46" customFormat="1" ht="15" customHeight="1">
      <c r="B123" s="47"/>
      <c r="C123" s="48"/>
      <c r="D123" s="48"/>
      <c r="E123" s="48"/>
      <c r="F123" s="48"/>
      <c r="G123" s="48"/>
      <c r="H123" s="48"/>
      <c r="I123" s="48"/>
      <c r="J123" s="48"/>
      <c r="K123" s="48"/>
      <c r="L123" s="48"/>
      <c r="M123" s="48"/>
      <c r="N123" s="48"/>
      <c r="O123" s="48"/>
      <c r="P123" s="48"/>
      <c r="Q123" s="48"/>
    </row>
    <row r="124" spans="2:17" s="46" customFormat="1" ht="15" customHeight="1">
      <c r="B124" s="47"/>
      <c r="C124" s="48"/>
      <c r="D124" s="48"/>
      <c r="E124" s="48"/>
      <c r="F124" s="48"/>
      <c r="G124" s="48"/>
      <c r="H124" s="48"/>
      <c r="I124" s="48"/>
      <c r="J124" s="48"/>
      <c r="K124" s="48"/>
      <c r="L124" s="48"/>
      <c r="M124" s="48"/>
      <c r="N124" s="48"/>
      <c r="O124" s="48"/>
      <c r="P124" s="48"/>
      <c r="Q124" s="48"/>
    </row>
    <row r="125" spans="2:17" s="46" customFormat="1" ht="15" customHeight="1">
      <c r="B125" s="47"/>
      <c r="C125" s="48"/>
      <c r="D125" s="48"/>
      <c r="E125" s="48"/>
      <c r="F125" s="48"/>
      <c r="G125" s="48"/>
      <c r="H125" s="48"/>
      <c r="I125" s="48"/>
      <c r="J125" s="48"/>
      <c r="K125" s="48"/>
      <c r="L125" s="48"/>
      <c r="M125" s="48"/>
      <c r="N125" s="48"/>
      <c r="O125" s="48"/>
      <c r="P125" s="48"/>
      <c r="Q125" s="48"/>
    </row>
    <row r="126" spans="2:17" s="46" customFormat="1" ht="15" customHeight="1">
      <c r="B126" s="47"/>
      <c r="C126" s="48"/>
      <c r="D126" s="48"/>
      <c r="E126" s="48"/>
      <c r="F126" s="48"/>
      <c r="G126" s="48"/>
      <c r="H126" s="48"/>
      <c r="I126" s="48"/>
      <c r="J126" s="48"/>
      <c r="K126" s="48"/>
      <c r="L126" s="48"/>
      <c r="M126" s="48"/>
      <c r="N126" s="48"/>
      <c r="O126" s="48"/>
      <c r="P126" s="48"/>
      <c r="Q126" s="48"/>
    </row>
    <row r="127" spans="2:17" s="46" customFormat="1" ht="15" customHeight="1">
      <c r="B127" s="47"/>
      <c r="C127" s="48"/>
      <c r="D127" s="48"/>
      <c r="E127" s="48"/>
      <c r="F127" s="48"/>
      <c r="G127" s="48"/>
      <c r="H127" s="48"/>
      <c r="I127" s="48"/>
      <c r="J127" s="48"/>
      <c r="K127" s="48"/>
      <c r="L127" s="48"/>
      <c r="M127" s="48"/>
      <c r="N127" s="48"/>
      <c r="O127" s="48"/>
      <c r="P127" s="48"/>
      <c r="Q127" s="48"/>
    </row>
    <row r="128" spans="2:17" s="46" customFormat="1" ht="15" customHeight="1">
      <c r="B128" s="47"/>
      <c r="C128" s="48"/>
      <c r="D128" s="48"/>
      <c r="E128" s="48"/>
      <c r="F128" s="48"/>
      <c r="G128" s="48"/>
      <c r="H128" s="48"/>
      <c r="I128" s="48"/>
      <c r="J128" s="48"/>
      <c r="K128" s="48"/>
      <c r="L128" s="48"/>
      <c r="M128" s="48"/>
      <c r="N128" s="48"/>
      <c r="O128" s="48"/>
      <c r="P128" s="48"/>
      <c r="Q128" s="48"/>
    </row>
    <row r="129" spans="2:17" s="46" customFormat="1" ht="15" customHeight="1">
      <c r="B129" s="47"/>
      <c r="C129" s="48"/>
      <c r="D129" s="48"/>
      <c r="E129" s="48"/>
      <c r="F129" s="48"/>
      <c r="G129" s="48"/>
      <c r="H129" s="48"/>
      <c r="I129" s="48"/>
      <c r="J129" s="48"/>
      <c r="K129" s="48"/>
      <c r="L129" s="48"/>
      <c r="M129" s="48"/>
      <c r="N129" s="48"/>
      <c r="O129" s="48"/>
      <c r="P129" s="48"/>
      <c r="Q129" s="48"/>
    </row>
    <row r="130" spans="2:17" s="46" customFormat="1" ht="15" customHeight="1">
      <c r="B130" s="47"/>
      <c r="C130" s="48"/>
      <c r="D130" s="48"/>
      <c r="E130" s="48"/>
      <c r="F130" s="48"/>
      <c r="G130" s="48"/>
      <c r="H130" s="48"/>
      <c r="I130" s="48"/>
      <c r="J130" s="48"/>
      <c r="K130" s="48"/>
      <c r="L130" s="48"/>
      <c r="M130" s="48"/>
      <c r="N130" s="48"/>
      <c r="O130" s="48"/>
      <c r="P130" s="48"/>
      <c r="Q130" s="48"/>
    </row>
    <row r="131" spans="2:17" s="46" customFormat="1" ht="15" customHeight="1">
      <c r="B131" s="47"/>
      <c r="C131" s="48"/>
      <c r="D131" s="48"/>
      <c r="E131" s="48"/>
      <c r="F131" s="48"/>
      <c r="G131" s="48"/>
      <c r="H131" s="48"/>
      <c r="I131" s="48"/>
      <c r="J131" s="48"/>
      <c r="K131" s="48"/>
      <c r="L131" s="48"/>
      <c r="M131" s="48"/>
      <c r="N131" s="48"/>
      <c r="O131" s="48"/>
      <c r="P131" s="48"/>
      <c r="Q131" s="48"/>
    </row>
    <row r="132" spans="2:17" s="46" customFormat="1" ht="15" customHeight="1">
      <c r="B132" s="47"/>
      <c r="C132" s="48"/>
      <c r="D132" s="48"/>
      <c r="E132" s="48"/>
      <c r="F132" s="48"/>
      <c r="G132" s="48"/>
      <c r="H132" s="48"/>
      <c r="I132" s="48"/>
      <c r="J132" s="48"/>
      <c r="K132" s="48"/>
      <c r="L132" s="48"/>
      <c r="M132" s="48"/>
      <c r="N132" s="48"/>
      <c r="O132" s="48"/>
      <c r="P132" s="48"/>
      <c r="Q132" s="48"/>
    </row>
    <row r="133" spans="2:17" s="46" customFormat="1" ht="15" customHeight="1">
      <c r="B133" s="47"/>
      <c r="C133" s="48"/>
      <c r="D133" s="48"/>
      <c r="E133" s="48"/>
      <c r="F133" s="48"/>
      <c r="G133" s="48"/>
      <c r="H133" s="48"/>
      <c r="I133" s="48"/>
      <c r="J133" s="48"/>
      <c r="K133" s="48"/>
      <c r="L133" s="48"/>
      <c r="M133" s="48"/>
      <c r="N133" s="48"/>
      <c r="O133" s="48"/>
      <c r="P133" s="48"/>
      <c r="Q133" s="48"/>
    </row>
    <row r="134" spans="2:17" s="46" customFormat="1" ht="15" customHeight="1">
      <c r="B134" s="47"/>
      <c r="C134" s="48"/>
      <c r="D134" s="48"/>
      <c r="E134" s="48"/>
      <c r="F134" s="48"/>
      <c r="G134" s="48"/>
      <c r="H134" s="48"/>
      <c r="I134" s="48"/>
      <c r="J134" s="48"/>
      <c r="K134" s="48"/>
      <c r="L134" s="48"/>
      <c r="M134" s="48"/>
      <c r="N134" s="48"/>
      <c r="O134" s="48"/>
      <c r="P134" s="48"/>
      <c r="Q134" s="48"/>
    </row>
    <row r="135" spans="2:17" s="46" customFormat="1" ht="15" customHeight="1">
      <c r="B135" s="47"/>
      <c r="C135" s="48"/>
      <c r="D135" s="48"/>
      <c r="E135" s="48"/>
      <c r="F135" s="48"/>
      <c r="G135" s="48"/>
      <c r="H135" s="48"/>
      <c r="I135" s="48"/>
      <c r="J135" s="48"/>
      <c r="K135" s="48"/>
      <c r="L135" s="48"/>
      <c r="M135" s="48"/>
      <c r="N135" s="48"/>
      <c r="O135" s="48"/>
      <c r="P135" s="48"/>
      <c r="Q135" s="48"/>
    </row>
    <row r="136" spans="2:17" s="46" customFormat="1" ht="15" customHeight="1">
      <c r="B136" s="47"/>
      <c r="C136" s="48"/>
      <c r="D136" s="48"/>
      <c r="E136" s="48"/>
      <c r="F136" s="48"/>
      <c r="G136" s="48"/>
      <c r="H136" s="48"/>
      <c r="I136" s="48"/>
      <c r="J136" s="48"/>
      <c r="K136" s="48"/>
      <c r="L136" s="48"/>
      <c r="M136" s="48"/>
      <c r="N136" s="48"/>
      <c r="O136" s="48"/>
      <c r="P136" s="48"/>
      <c r="Q136" s="48"/>
    </row>
    <row r="137" spans="2:17" s="46" customFormat="1" ht="15" customHeight="1">
      <c r="B137" s="47"/>
      <c r="C137" s="48"/>
      <c r="D137" s="48"/>
      <c r="E137" s="48"/>
      <c r="F137" s="48"/>
      <c r="G137" s="48"/>
      <c r="H137" s="48"/>
      <c r="I137" s="48"/>
      <c r="J137" s="48"/>
      <c r="K137" s="48"/>
      <c r="L137" s="48"/>
      <c r="M137" s="48"/>
      <c r="N137" s="48"/>
      <c r="O137" s="48"/>
      <c r="P137" s="48"/>
      <c r="Q137" s="48"/>
    </row>
    <row r="138" spans="2:17" s="46" customFormat="1" ht="15" customHeight="1">
      <c r="B138" s="47"/>
      <c r="C138" s="48"/>
      <c r="D138" s="48"/>
      <c r="E138" s="48"/>
      <c r="F138" s="48"/>
      <c r="G138" s="48"/>
      <c r="H138" s="48"/>
      <c r="I138" s="48"/>
      <c r="J138" s="48"/>
      <c r="K138" s="48"/>
      <c r="L138" s="48"/>
      <c r="M138" s="48"/>
      <c r="N138" s="48"/>
      <c r="O138" s="48"/>
      <c r="P138" s="48"/>
      <c r="Q138" s="48"/>
    </row>
    <row r="139" spans="2:17" s="46" customFormat="1" ht="15" customHeight="1">
      <c r="B139" s="47"/>
      <c r="C139" s="48"/>
      <c r="D139" s="48"/>
      <c r="E139" s="48"/>
      <c r="F139" s="48"/>
      <c r="G139" s="48"/>
      <c r="H139" s="48"/>
      <c r="I139" s="48"/>
      <c r="J139" s="48"/>
      <c r="K139" s="48"/>
      <c r="L139" s="48"/>
      <c r="M139" s="48"/>
      <c r="N139" s="48"/>
      <c r="O139" s="48"/>
      <c r="P139" s="48"/>
      <c r="Q139" s="48"/>
    </row>
    <row r="140" spans="2:17" s="46" customFormat="1" ht="15" customHeight="1">
      <c r="B140" s="47"/>
      <c r="C140" s="48"/>
      <c r="D140" s="48"/>
      <c r="E140" s="48"/>
      <c r="F140" s="48"/>
      <c r="G140" s="48"/>
      <c r="H140" s="48"/>
      <c r="I140" s="48"/>
      <c r="J140" s="48"/>
      <c r="K140" s="48"/>
      <c r="L140" s="48"/>
      <c r="M140" s="48"/>
      <c r="N140" s="48"/>
      <c r="O140" s="48"/>
      <c r="P140" s="48"/>
      <c r="Q140" s="48"/>
    </row>
    <row r="141" spans="2:17" s="46" customFormat="1" ht="15" customHeight="1">
      <c r="B141" s="47"/>
      <c r="C141" s="48"/>
      <c r="D141" s="48"/>
      <c r="E141" s="48"/>
      <c r="F141" s="48"/>
      <c r="G141" s="48"/>
      <c r="H141" s="48"/>
      <c r="I141" s="48"/>
      <c r="J141" s="48"/>
      <c r="K141" s="48"/>
      <c r="L141" s="48"/>
      <c r="M141" s="48"/>
      <c r="N141" s="48"/>
      <c r="O141" s="48"/>
      <c r="P141" s="48"/>
      <c r="Q141" s="48"/>
    </row>
    <row r="142" spans="2:17" s="46" customFormat="1" ht="15" customHeight="1">
      <c r="B142" s="47"/>
      <c r="C142" s="48"/>
      <c r="D142" s="48"/>
      <c r="E142" s="48"/>
      <c r="F142" s="48"/>
      <c r="G142" s="48"/>
      <c r="H142" s="48"/>
      <c r="I142" s="48"/>
      <c r="J142" s="48"/>
      <c r="K142" s="48"/>
      <c r="L142" s="48"/>
      <c r="M142" s="48"/>
      <c r="N142" s="48"/>
      <c r="O142" s="48"/>
      <c r="P142" s="48"/>
      <c r="Q142" s="48"/>
    </row>
    <row r="143" spans="2:17" s="46" customFormat="1" ht="15" customHeight="1">
      <c r="B143" s="47"/>
      <c r="C143" s="48"/>
      <c r="D143" s="48"/>
      <c r="E143" s="48"/>
      <c r="F143" s="48"/>
      <c r="G143" s="48"/>
      <c r="H143" s="48"/>
      <c r="I143" s="48"/>
      <c r="J143" s="48"/>
      <c r="K143" s="48"/>
      <c r="L143" s="48"/>
      <c r="M143" s="48"/>
      <c r="N143" s="48"/>
      <c r="O143" s="48"/>
      <c r="P143" s="48"/>
      <c r="Q143" s="48"/>
    </row>
    <row r="144" spans="2:17" s="46" customFormat="1" ht="15" customHeight="1">
      <c r="B144" s="47"/>
      <c r="C144" s="48"/>
      <c r="D144" s="48"/>
      <c r="E144" s="48"/>
      <c r="F144" s="48"/>
      <c r="G144" s="48"/>
      <c r="H144" s="48"/>
      <c r="I144" s="48"/>
      <c r="J144" s="48"/>
      <c r="K144" s="48"/>
      <c r="L144" s="48"/>
      <c r="M144" s="48"/>
      <c r="N144" s="48"/>
      <c r="O144" s="48"/>
      <c r="P144" s="48"/>
      <c r="Q144" s="48"/>
    </row>
    <row r="145" spans="2:17" s="46" customFormat="1" ht="15" customHeight="1">
      <c r="B145" s="47"/>
      <c r="C145" s="48"/>
      <c r="D145" s="48"/>
      <c r="E145" s="48"/>
      <c r="F145" s="48"/>
      <c r="G145" s="48"/>
      <c r="H145" s="48"/>
      <c r="I145" s="48"/>
      <c r="J145" s="48"/>
      <c r="K145" s="48"/>
      <c r="L145" s="48"/>
      <c r="M145" s="48"/>
      <c r="N145" s="48"/>
      <c r="O145" s="48"/>
      <c r="P145" s="48"/>
      <c r="Q145" s="48"/>
    </row>
    <row r="146" spans="2:17" s="46" customFormat="1" ht="15" customHeight="1">
      <c r="B146" s="47"/>
      <c r="C146" s="48"/>
      <c r="D146" s="48"/>
      <c r="E146" s="48"/>
      <c r="F146" s="48"/>
      <c r="G146" s="48"/>
      <c r="H146" s="48"/>
      <c r="I146" s="48"/>
      <c r="J146" s="48"/>
      <c r="K146" s="48"/>
      <c r="L146" s="48"/>
      <c r="M146" s="48"/>
      <c r="N146" s="48"/>
      <c r="O146" s="48"/>
      <c r="P146" s="48"/>
      <c r="Q146" s="48"/>
    </row>
    <row r="147" spans="2:17" s="46" customFormat="1" ht="15" customHeight="1">
      <c r="B147" s="47"/>
      <c r="C147" s="48"/>
      <c r="D147" s="48"/>
      <c r="E147" s="48"/>
      <c r="F147" s="48"/>
      <c r="G147" s="48"/>
      <c r="H147" s="48"/>
      <c r="I147" s="48"/>
      <c r="J147" s="48"/>
      <c r="K147" s="48"/>
      <c r="L147" s="48"/>
      <c r="M147" s="48"/>
      <c r="N147" s="48"/>
      <c r="O147" s="48"/>
      <c r="P147" s="48"/>
      <c r="Q147" s="48"/>
    </row>
    <row r="148" spans="2:17" s="46" customFormat="1" ht="15" customHeight="1">
      <c r="B148" s="47"/>
      <c r="C148" s="48"/>
      <c r="D148" s="48"/>
      <c r="E148" s="48"/>
      <c r="F148" s="48"/>
      <c r="G148" s="48"/>
      <c r="H148" s="48"/>
      <c r="I148" s="48"/>
      <c r="J148" s="48"/>
      <c r="K148" s="48"/>
      <c r="L148" s="48"/>
      <c r="M148" s="48"/>
      <c r="N148" s="48"/>
      <c r="O148" s="48"/>
      <c r="P148" s="48"/>
      <c r="Q148" s="48"/>
    </row>
    <row r="149" spans="2:17" s="46" customFormat="1" ht="15" customHeight="1">
      <c r="B149" s="47"/>
      <c r="C149" s="48"/>
      <c r="D149" s="48"/>
      <c r="E149" s="48"/>
      <c r="F149" s="48"/>
      <c r="G149" s="48"/>
      <c r="H149" s="48"/>
      <c r="I149" s="48"/>
      <c r="J149" s="48"/>
      <c r="K149" s="48"/>
      <c r="L149" s="48"/>
      <c r="M149" s="48"/>
      <c r="N149" s="48"/>
      <c r="O149" s="48"/>
      <c r="P149" s="48"/>
      <c r="Q149" s="48"/>
    </row>
    <row r="150" spans="2:17" s="46" customFormat="1" ht="15" customHeight="1">
      <c r="B150" s="47"/>
      <c r="C150" s="48"/>
      <c r="D150" s="48"/>
      <c r="E150" s="48"/>
      <c r="F150" s="48"/>
      <c r="G150" s="48"/>
      <c r="H150" s="48"/>
      <c r="I150" s="48"/>
      <c r="J150" s="48"/>
      <c r="K150" s="48"/>
      <c r="L150" s="48"/>
      <c r="M150" s="48"/>
      <c r="N150" s="48"/>
      <c r="O150" s="48"/>
      <c r="P150" s="48"/>
      <c r="Q150" s="48"/>
    </row>
    <row r="151" spans="2:17" s="46" customFormat="1" ht="15" customHeight="1">
      <c r="B151" s="47"/>
      <c r="C151" s="48"/>
      <c r="D151" s="48"/>
      <c r="E151" s="48"/>
      <c r="F151" s="48"/>
      <c r="G151" s="48"/>
      <c r="H151" s="48"/>
      <c r="I151" s="48"/>
      <c r="J151" s="48"/>
      <c r="K151" s="48"/>
      <c r="L151" s="48"/>
      <c r="M151" s="48"/>
      <c r="N151" s="48"/>
      <c r="O151" s="48"/>
      <c r="P151" s="48"/>
      <c r="Q151" s="48"/>
    </row>
    <row r="152" spans="2:17" s="46" customFormat="1" ht="15" customHeight="1">
      <c r="B152" s="47"/>
      <c r="C152" s="48"/>
      <c r="D152" s="48"/>
      <c r="E152" s="48"/>
      <c r="F152" s="48"/>
      <c r="G152" s="48"/>
      <c r="H152" s="48"/>
      <c r="I152" s="48"/>
      <c r="J152" s="48"/>
      <c r="K152" s="48"/>
      <c r="L152" s="48"/>
      <c r="M152" s="48"/>
      <c r="N152" s="48"/>
      <c r="O152" s="48"/>
      <c r="P152" s="48"/>
      <c r="Q152" s="48"/>
    </row>
    <row r="153" spans="2:17" s="46" customFormat="1" ht="15" customHeight="1">
      <c r="B153" s="47"/>
      <c r="C153" s="48"/>
      <c r="D153" s="48"/>
      <c r="E153" s="48"/>
      <c r="F153" s="48"/>
      <c r="G153" s="48"/>
      <c r="H153" s="48"/>
      <c r="I153" s="48"/>
      <c r="J153" s="48"/>
      <c r="K153" s="48"/>
      <c r="L153" s="48"/>
      <c r="M153" s="48"/>
      <c r="N153" s="48"/>
      <c r="O153" s="48"/>
      <c r="P153" s="48"/>
      <c r="Q153" s="48"/>
    </row>
    <row r="154" spans="2:17" s="46" customFormat="1" ht="15" customHeight="1">
      <c r="B154" s="47"/>
      <c r="C154" s="48"/>
      <c r="D154" s="48"/>
      <c r="E154" s="48"/>
      <c r="F154" s="48"/>
      <c r="G154" s="48"/>
      <c r="H154" s="48"/>
      <c r="I154" s="48"/>
      <c r="J154" s="48"/>
      <c r="K154" s="48"/>
      <c r="L154" s="48"/>
      <c r="M154" s="48"/>
      <c r="N154" s="48"/>
      <c r="O154" s="48"/>
      <c r="P154" s="48"/>
      <c r="Q154" s="48"/>
    </row>
    <row r="155" spans="2:17" s="46" customFormat="1" ht="15" customHeight="1">
      <c r="B155" s="47"/>
      <c r="C155" s="48"/>
      <c r="D155" s="48"/>
      <c r="E155" s="48"/>
      <c r="F155" s="48"/>
      <c r="G155" s="48"/>
      <c r="H155" s="48"/>
      <c r="I155" s="48"/>
      <c r="J155" s="48"/>
      <c r="K155" s="48"/>
      <c r="L155" s="48"/>
      <c r="M155" s="48"/>
      <c r="N155" s="48"/>
      <c r="O155" s="48"/>
      <c r="P155" s="48"/>
      <c r="Q155" s="48"/>
    </row>
    <row r="156" spans="2:17" s="46" customFormat="1" ht="15" customHeight="1">
      <c r="B156" s="47"/>
      <c r="C156" s="48"/>
      <c r="D156" s="48"/>
      <c r="E156" s="48"/>
      <c r="F156" s="48"/>
      <c r="G156" s="48"/>
      <c r="H156" s="48"/>
      <c r="I156" s="48"/>
      <c r="J156" s="48"/>
      <c r="K156" s="48"/>
      <c r="L156" s="48"/>
      <c r="M156" s="48"/>
      <c r="N156" s="48"/>
      <c r="O156" s="48"/>
      <c r="P156" s="48"/>
      <c r="Q156" s="48"/>
    </row>
    <row r="157" spans="2:17" s="46" customFormat="1" ht="15" customHeight="1">
      <c r="B157" s="47"/>
      <c r="C157" s="48"/>
      <c r="D157" s="48"/>
      <c r="E157" s="48"/>
      <c r="F157" s="48"/>
      <c r="G157" s="48"/>
      <c r="H157" s="48"/>
      <c r="I157" s="48"/>
      <c r="J157" s="48"/>
      <c r="K157" s="48"/>
      <c r="L157" s="48"/>
      <c r="M157" s="48"/>
      <c r="N157" s="48"/>
      <c r="O157" s="48"/>
      <c r="P157" s="48"/>
      <c r="Q157" s="48"/>
    </row>
    <row r="158" spans="2:17" s="46" customFormat="1" ht="15" customHeight="1">
      <c r="B158" s="47"/>
      <c r="C158" s="48"/>
      <c r="D158" s="48"/>
      <c r="E158" s="48"/>
      <c r="F158" s="48"/>
      <c r="G158" s="48"/>
      <c r="H158" s="48"/>
      <c r="I158" s="48"/>
      <c r="J158" s="48"/>
      <c r="K158" s="48"/>
      <c r="L158" s="48"/>
      <c r="M158" s="48"/>
      <c r="N158" s="48"/>
      <c r="O158" s="48"/>
      <c r="P158" s="48"/>
      <c r="Q158" s="48"/>
    </row>
    <row r="159" spans="2:17" s="46" customFormat="1" ht="15" customHeight="1">
      <c r="B159" s="47"/>
      <c r="C159" s="48"/>
      <c r="D159" s="48"/>
      <c r="E159" s="48"/>
      <c r="F159" s="48"/>
      <c r="G159" s="48"/>
      <c r="H159" s="48"/>
      <c r="I159" s="48"/>
      <c r="J159" s="48"/>
      <c r="K159" s="48"/>
      <c r="L159" s="48"/>
      <c r="M159" s="48"/>
      <c r="N159" s="48"/>
      <c r="O159" s="48"/>
      <c r="P159" s="48"/>
      <c r="Q159" s="48"/>
    </row>
    <row r="160" spans="2:17" s="46" customFormat="1" ht="15" customHeight="1">
      <c r="B160" s="47"/>
      <c r="C160" s="48"/>
      <c r="D160" s="48"/>
      <c r="E160" s="48"/>
      <c r="F160" s="48"/>
      <c r="G160" s="48"/>
      <c r="H160" s="48"/>
      <c r="I160" s="48"/>
      <c r="J160" s="48"/>
      <c r="K160" s="48"/>
      <c r="L160" s="48"/>
      <c r="M160" s="48"/>
      <c r="N160" s="48"/>
      <c r="O160" s="48"/>
      <c r="P160" s="48"/>
      <c r="Q160" s="48"/>
    </row>
    <row r="161" spans="2:17" s="46" customFormat="1" ht="15" customHeight="1">
      <c r="B161" s="47"/>
      <c r="C161" s="48"/>
      <c r="D161" s="48"/>
      <c r="E161" s="48"/>
      <c r="F161" s="48"/>
      <c r="G161" s="48"/>
      <c r="H161" s="48"/>
      <c r="I161" s="48"/>
      <c r="J161" s="48"/>
      <c r="K161" s="48"/>
      <c r="L161" s="48"/>
      <c r="M161" s="48"/>
      <c r="N161" s="48"/>
      <c r="O161" s="48"/>
      <c r="P161" s="48"/>
      <c r="Q161" s="48"/>
    </row>
    <row r="162" spans="2:17" s="46" customFormat="1" ht="15" customHeight="1">
      <c r="B162" s="47"/>
      <c r="C162" s="48"/>
      <c r="D162" s="48"/>
      <c r="E162" s="48"/>
      <c r="F162" s="48"/>
      <c r="G162" s="48"/>
      <c r="H162" s="48"/>
      <c r="I162" s="48"/>
      <c r="J162" s="48"/>
      <c r="K162" s="48"/>
      <c r="L162" s="48"/>
      <c r="M162" s="48"/>
      <c r="N162" s="48"/>
      <c r="O162" s="48"/>
      <c r="P162" s="48"/>
      <c r="Q162" s="48"/>
    </row>
    <row r="163" spans="2:17" s="46" customFormat="1" ht="15" customHeight="1">
      <c r="B163" s="47"/>
      <c r="C163" s="48"/>
      <c r="D163" s="48"/>
      <c r="E163" s="48"/>
      <c r="F163" s="48"/>
      <c r="G163" s="48"/>
      <c r="H163" s="48"/>
      <c r="I163" s="48"/>
      <c r="J163" s="48"/>
      <c r="K163" s="48"/>
      <c r="L163" s="48"/>
      <c r="M163" s="48"/>
      <c r="N163" s="48"/>
      <c r="O163" s="48"/>
      <c r="P163" s="48"/>
      <c r="Q163" s="48"/>
    </row>
    <row r="164" spans="2:17" s="46" customFormat="1" ht="15" customHeight="1">
      <c r="B164" s="47"/>
      <c r="C164" s="48"/>
      <c r="D164" s="48"/>
      <c r="E164" s="48"/>
      <c r="F164" s="48"/>
      <c r="G164" s="48"/>
      <c r="H164" s="48"/>
      <c r="I164" s="48"/>
      <c r="J164" s="48"/>
      <c r="K164" s="48"/>
      <c r="L164" s="48"/>
      <c r="M164" s="48"/>
      <c r="N164" s="48"/>
      <c r="O164" s="48"/>
      <c r="P164" s="48"/>
      <c r="Q164" s="48"/>
    </row>
    <row r="165" spans="2:17" s="46" customFormat="1" ht="15" customHeight="1">
      <c r="B165" s="47"/>
      <c r="C165" s="48"/>
      <c r="D165" s="48"/>
      <c r="E165" s="48"/>
      <c r="F165" s="48"/>
      <c r="G165" s="48"/>
      <c r="H165" s="48"/>
      <c r="I165" s="48"/>
      <c r="J165" s="48"/>
      <c r="K165" s="48"/>
      <c r="L165" s="48"/>
      <c r="M165" s="48"/>
      <c r="N165" s="48"/>
      <c r="O165" s="48"/>
      <c r="P165" s="48"/>
      <c r="Q165" s="48"/>
    </row>
    <row r="166" spans="2:17" s="46" customFormat="1" ht="15" customHeight="1">
      <c r="B166" s="47"/>
      <c r="C166" s="48"/>
      <c r="D166" s="48"/>
      <c r="E166" s="48"/>
      <c r="F166" s="48"/>
      <c r="G166" s="48"/>
      <c r="H166" s="48"/>
      <c r="I166" s="48"/>
      <c r="J166" s="48"/>
      <c r="K166" s="48"/>
      <c r="L166" s="48"/>
      <c r="M166" s="48"/>
      <c r="N166" s="48"/>
      <c r="O166" s="48"/>
      <c r="P166" s="48"/>
      <c r="Q166" s="48"/>
    </row>
    <row r="167" spans="2:17" s="46" customFormat="1" ht="15" customHeight="1">
      <c r="B167" s="47"/>
      <c r="C167" s="48"/>
      <c r="D167" s="48"/>
      <c r="E167" s="48"/>
      <c r="F167" s="48"/>
      <c r="G167" s="48"/>
      <c r="H167" s="48"/>
      <c r="I167" s="48"/>
      <c r="J167" s="48"/>
      <c r="K167" s="48"/>
      <c r="L167" s="48"/>
      <c r="M167" s="48"/>
      <c r="N167" s="48"/>
      <c r="O167" s="48"/>
      <c r="P167" s="48"/>
      <c r="Q167" s="48"/>
    </row>
    <row r="168" spans="2:17" s="46" customFormat="1" ht="15" customHeight="1">
      <c r="B168" s="47"/>
      <c r="C168" s="48"/>
      <c r="D168" s="48"/>
      <c r="E168" s="48"/>
      <c r="F168" s="48"/>
      <c r="G168" s="48"/>
      <c r="H168" s="48"/>
      <c r="I168" s="48"/>
      <c r="J168" s="48"/>
      <c r="K168" s="48"/>
      <c r="L168" s="48"/>
      <c r="M168" s="48"/>
      <c r="N168" s="48"/>
      <c r="O168" s="48"/>
      <c r="P168" s="48"/>
      <c r="Q168" s="48"/>
    </row>
    <row r="169" spans="2:17" s="46" customFormat="1" ht="15" customHeight="1">
      <c r="B169" s="47"/>
      <c r="C169" s="48"/>
      <c r="D169" s="48"/>
      <c r="E169" s="48"/>
      <c r="F169" s="48"/>
      <c r="G169" s="48"/>
      <c r="H169" s="48"/>
      <c r="I169" s="48"/>
      <c r="J169" s="48"/>
      <c r="K169" s="48"/>
      <c r="L169" s="48"/>
      <c r="M169" s="48"/>
      <c r="N169" s="48"/>
      <c r="O169" s="48"/>
      <c r="P169" s="48"/>
      <c r="Q169" s="48"/>
    </row>
    <row r="170" spans="2:17" s="46" customFormat="1" ht="15" customHeight="1">
      <c r="B170" s="47"/>
      <c r="C170" s="48"/>
      <c r="D170" s="48"/>
      <c r="E170" s="48"/>
      <c r="F170" s="48"/>
      <c r="G170" s="48"/>
      <c r="H170" s="48"/>
      <c r="I170" s="48"/>
      <c r="J170" s="48"/>
      <c r="K170" s="48"/>
      <c r="L170" s="48"/>
      <c r="M170" s="48"/>
      <c r="N170" s="48"/>
      <c r="O170" s="48"/>
      <c r="P170" s="48"/>
      <c r="Q170" s="48"/>
    </row>
    <row r="171" spans="2:17" s="46" customFormat="1" ht="15" customHeight="1">
      <c r="B171" s="47"/>
      <c r="C171" s="48"/>
      <c r="D171" s="48"/>
      <c r="E171" s="48"/>
      <c r="F171" s="48"/>
      <c r="G171" s="48"/>
      <c r="H171" s="48"/>
      <c r="I171" s="48"/>
      <c r="J171" s="48"/>
      <c r="K171" s="48"/>
      <c r="L171" s="48"/>
      <c r="M171" s="48"/>
      <c r="N171" s="48"/>
      <c r="O171" s="48"/>
      <c r="P171" s="48"/>
      <c r="Q171" s="48"/>
    </row>
    <row r="172" spans="2:17" s="46" customFormat="1" ht="15" customHeight="1">
      <c r="B172" s="47"/>
      <c r="C172" s="48"/>
      <c r="D172" s="48"/>
      <c r="E172" s="48"/>
      <c r="F172" s="48"/>
      <c r="G172" s="48"/>
      <c r="H172" s="48"/>
      <c r="I172" s="48"/>
      <c r="J172" s="48"/>
      <c r="K172" s="48"/>
      <c r="L172" s="48"/>
      <c r="M172" s="48"/>
      <c r="N172" s="48"/>
      <c r="O172" s="48"/>
      <c r="P172" s="48"/>
      <c r="Q172" s="48"/>
    </row>
    <row r="173" spans="2:17" s="46" customFormat="1" ht="15" customHeight="1">
      <c r="B173" s="47"/>
      <c r="C173" s="48"/>
      <c r="D173" s="48"/>
      <c r="E173" s="48"/>
      <c r="F173" s="48"/>
      <c r="G173" s="48"/>
      <c r="H173" s="48"/>
      <c r="I173" s="48"/>
      <c r="J173" s="48"/>
      <c r="K173" s="48"/>
      <c r="L173" s="48"/>
      <c r="M173" s="48"/>
      <c r="N173" s="48"/>
      <c r="O173" s="48"/>
      <c r="P173" s="48"/>
      <c r="Q173" s="48"/>
    </row>
    <row r="174" spans="2:17" s="46" customFormat="1" ht="15" customHeight="1">
      <c r="B174" s="47"/>
      <c r="C174" s="48"/>
      <c r="D174" s="48"/>
      <c r="E174" s="48"/>
      <c r="F174" s="48"/>
      <c r="G174" s="48"/>
      <c r="H174" s="48"/>
      <c r="I174" s="48"/>
      <c r="J174" s="48"/>
      <c r="K174" s="48"/>
      <c r="L174" s="48"/>
      <c r="M174" s="48"/>
      <c r="N174" s="48"/>
      <c r="O174" s="48"/>
      <c r="P174" s="48"/>
      <c r="Q174" s="48"/>
    </row>
    <row r="175" spans="2:17" s="46" customFormat="1" ht="15" customHeight="1">
      <c r="B175" s="47"/>
      <c r="C175" s="48"/>
      <c r="D175" s="48"/>
      <c r="E175" s="48"/>
      <c r="F175" s="48"/>
      <c r="G175" s="48"/>
      <c r="H175" s="48"/>
      <c r="I175" s="48"/>
      <c r="J175" s="48"/>
      <c r="K175" s="48"/>
      <c r="L175" s="48"/>
      <c r="M175" s="48"/>
      <c r="N175" s="48"/>
      <c r="O175" s="48"/>
      <c r="P175" s="48"/>
      <c r="Q175" s="48"/>
    </row>
    <row r="176" spans="2:17" s="46" customFormat="1" ht="15" customHeight="1">
      <c r="B176" s="47"/>
      <c r="C176" s="48"/>
      <c r="D176" s="48"/>
      <c r="E176" s="48"/>
      <c r="F176" s="48"/>
      <c r="G176" s="48"/>
      <c r="H176" s="48"/>
      <c r="I176" s="48"/>
      <c r="J176" s="48"/>
      <c r="K176" s="48"/>
      <c r="L176" s="48"/>
      <c r="M176" s="48"/>
      <c r="N176" s="48"/>
      <c r="O176" s="48"/>
      <c r="P176" s="48"/>
      <c r="Q176" s="48"/>
    </row>
    <row r="177" spans="2:17" s="46" customFormat="1" ht="15" customHeight="1">
      <c r="B177" s="47"/>
      <c r="C177" s="48"/>
      <c r="D177" s="48"/>
      <c r="E177" s="48"/>
      <c r="F177" s="48"/>
      <c r="G177" s="48"/>
      <c r="H177" s="48"/>
      <c r="I177" s="48"/>
      <c r="J177" s="48"/>
      <c r="K177" s="48"/>
      <c r="L177" s="48"/>
      <c r="M177" s="48"/>
      <c r="N177" s="48"/>
      <c r="O177" s="48"/>
      <c r="P177" s="48"/>
      <c r="Q177" s="48"/>
    </row>
    <row r="178" spans="2:17" s="46" customFormat="1" ht="15" customHeight="1">
      <c r="B178" s="47"/>
      <c r="C178" s="48"/>
      <c r="D178" s="48"/>
      <c r="E178" s="48"/>
      <c r="F178" s="48"/>
      <c r="G178" s="48"/>
      <c r="H178" s="48"/>
      <c r="I178" s="48"/>
      <c r="J178" s="48"/>
      <c r="K178" s="48"/>
      <c r="L178" s="48"/>
      <c r="M178" s="48"/>
      <c r="N178" s="48"/>
      <c r="O178" s="48"/>
      <c r="P178" s="48"/>
      <c r="Q178" s="48"/>
    </row>
    <row r="179" spans="2:17" s="46" customFormat="1" ht="15" customHeight="1">
      <c r="B179" s="47"/>
      <c r="C179" s="48"/>
      <c r="D179" s="48"/>
      <c r="E179" s="48"/>
      <c r="F179" s="48"/>
      <c r="G179" s="48"/>
      <c r="H179" s="48"/>
      <c r="I179" s="48"/>
      <c r="J179" s="48"/>
      <c r="K179" s="48"/>
      <c r="L179" s="48"/>
      <c r="M179" s="48"/>
      <c r="N179" s="48"/>
      <c r="O179" s="48"/>
      <c r="P179" s="48"/>
      <c r="Q179" s="48"/>
    </row>
    <row r="180" spans="2:17" s="46" customFormat="1" ht="15" customHeight="1">
      <c r="B180" s="47"/>
      <c r="C180" s="48"/>
      <c r="D180" s="48"/>
      <c r="E180" s="48"/>
      <c r="F180" s="48"/>
      <c r="G180" s="48"/>
      <c r="H180" s="48"/>
      <c r="I180" s="48"/>
      <c r="J180" s="48"/>
      <c r="K180" s="48"/>
      <c r="L180" s="48"/>
      <c r="M180" s="48"/>
      <c r="N180" s="48"/>
      <c r="O180" s="48"/>
      <c r="P180" s="48"/>
      <c r="Q180" s="48"/>
    </row>
    <row r="181" spans="2:17" s="46" customFormat="1" ht="15" customHeight="1">
      <c r="B181" s="47"/>
      <c r="C181" s="48"/>
      <c r="D181" s="48"/>
      <c r="E181" s="48"/>
      <c r="F181" s="48"/>
      <c r="G181" s="48"/>
      <c r="H181" s="48"/>
      <c r="I181" s="48"/>
      <c r="J181" s="48"/>
      <c r="K181" s="48"/>
      <c r="L181" s="48"/>
      <c r="M181" s="48"/>
      <c r="N181" s="48"/>
      <c r="O181" s="48"/>
      <c r="P181" s="48"/>
      <c r="Q181" s="48"/>
    </row>
    <row r="182" spans="2:17" s="46" customFormat="1" ht="15" customHeight="1">
      <c r="B182" s="47"/>
      <c r="C182" s="48"/>
      <c r="D182" s="48"/>
      <c r="E182" s="48"/>
      <c r="F182" s="48"/>
      <c r="G182" s="48"/>
      <c r="H182" s="48"/>
      <c r="I182" s="48"/>
      <c r="J182" s="48"/>
      <c r="K182" s="48"/>
      <c r="L182" s="48"/>
      <c r="M182" s="48"/>
      <c r="N182" s="48"/>
      <c r="O182" s="48"/>
      <c r="P182" s="48"/>
      <c r="Q182" s="48"/>
    </row>
    <row r="183" spans="2:17" s="46" customFormat="1" ht="15" customHeight="1">
      <c r="B183" s="47"/>
      <c r="C183" s="48"/>
      <c r="D183" s="48"/>
      <c r="E183" s="48"/>
      <c r="F183" s="48"/>
      <c r="G183" s="48"/>
      <c r="H183" s="48"/>
      <c r="I183" s="48"/>
      <c r="J183" s="48"/>
      <c r="K183" s="48"/>
      <c r="L183" s="48"/>
      <c r="M183" s="48"/>
      <c r="N183" s="48"/>
      <c r="O183" s="48"/>
      <c r="P183" s="48"/>
      <c r="Q183" s="48"/>
    </row>
    <row r="184" spans="2:17" s="46" customFormat="1" ht="15" customHeight="1">
      <c r="B184" s="47"/>
      <c r="C184" s="48"/>
      <c r="D184" s="48"/>
      <c r="E184" s="48"/>
      <c r="F184" s="48"/>
      <c r="G184" s="48"/>
      <c r="H184" s="48"/>
      <c r="I184" s="48"/>
      <c r="J184" s="48"/>
      <c r="K184" s="48"/>
      <c r="L184" s="48"/>
      <c r="M184" s="48"/>
      <c r="N184" s="48"/>
      <c r="O184" s="48"/>
      <c r="P184" s="48"/>
      <c r="Q184" s="48"/>
    </row>
    <row r="185" spans="2:17" s="46" customFormat="1" ht="15" customHeight="1">
      <c r="B185" s="47"/>
      <c r="C185" s="48"/>
      <c r="D185" s="48"/>
      <c r="E185" s="48"/>
      <c r="F185" s="48"/>
      <c r="G185" s="48"/>
      <c r="H185" s="48"/>
      <c r="I185" s="48"/>
      <c r="J185" s="48"/>
      <c r="K185" s="48"/>
      <c r="L185" s="48"/>
      <c r="M185" s="48"/>
      <c r="N185" s="48"/>
      <c r="O185" s="48"/>
      <c r="P185" s="48"/>
      <c r="Q185" s="48"/>
    </row>
    <row r="186" spans="2:17" s="46" customFormat="1" ht="15" customHeight="1">
      <c r="B186" s="47"/>
      <c r="C186" s="48"/>
      <c r="D186" s="48"/>
      <c r="E186" s="48"/>
      <c r="F186" s="48"/>
      <c r="G186" s="48"/>
      <c r="H186" s="48"/>
      <c r="I186" s="48"/>
      <c r="J186" s="48"/>
      <c r="K186" s="48"/>
      <c r="L186" s="48"/>
      <c r="M186" s="48"/>
      <c r="N186" s="48"/>
      <c r="O186" s="48"/>
      <c r="P186" s="48"/>
      <c r="Q186" s="48"/>
    </row>
    <row r="187" spans="2:17" s="46" customFormat="1" ht="15" customHeight="1">
      <c r="B187" s="47"/>
      <c r="C187" s="48"/>
      <c r="D187" s="48"/>
      <c r="E187" s="48"/>
      <c r="F187" s="48"/>
      <c r="G187" s="48"/>
      <c r="H187" s="48"/>
      <c r="I187" s="48"/>
      <c r="J187" s="48"/>
      <c r="K187" s="48"/>
      <c r="L187" s="48"/>
      <c r="M187" s="48"/>
      <c r="N187" s="48"/>
      <c r="O187" s="48"/>
      <c r="P187" s="48"/>
      <c r="Q187" s="48"/>
    </row>
    <row r="188" spans="2:17" s="46" customFormat="1" ht="15" customHeight="1">
      <c r="B188" s="47"/>
      <c r="C188" s="48"/>
      <c r="D188" s="48"/>
      <c r="E188" s="48"/>
      <c r="F188" s="48"/>
      <c r="G188" s="48"/>
      <c r="H188" s="48"/>
      <c r="I188" s="48"/>
      <c r="J188" s="48"/>
      <c r="K188" s="48"/>
      <c r="L188" s="48"/>
      <c r="M188" s="48"/>
      <c r="N188" s="48"/>
      <c r="O188" s="48"/>
      <c r="P188" s="48"/>
      <c r="Q188" s="48"/>
    </row>
    <row r="189" spans="2:17" s="46" customFormat="1" ht="15" customHeight="1">
      <c r="B189" s="47"/>
      <c r="C189" s="48"/>
      <c r="D189" s="48"/>
      <c r="E189" s="48"/>
      <c r="F189" s="48"/>
      <c r="G189" s="48"/>
      <c r="H189" s="48"/>
      <c r="I189" s="48"/>
      <c r="J189" s="48"/>
      <c r="K189" s="48"/>
      <c r="L189" s="48"/>
      <c r="M189" s="48"/>
      <c r="N189" s="48"/>
      <c r="O189" s="48"/>
      <c r="P189" s="48"/>
      <c r="Q189" s="48"/>
    </row>
    <row r="190" spans="2:17" s="46" customFormat="1" ht="15" customHeight="1">
      <c r="B190" s="47"/>
      <c r="C190" s="48"/>
      <c r="D190" s="48"/>
      <c r="E190" s="48"/>
      <c r="F190" s="48"/>
      <c r="G190" s="48"/>
      <c r="H190" s="48"/>
      <c r="I190" s="48"/>
      <c r="J190" s="48"/>
      <c r="K190" s="48"/>
      <c r="L190" s="48"/>
      <c r="M190" s="48"/>
      <c r="N190" s="48"/>
      <c r="O190" s="48"/>
      <c r="P190" s="48"/>
      <c r="Q190" s="48"/>
    </row>
    <row r="191" spans="2:17" s="46" customFormat="1" ht="15" customHeight="1">
      <c r="B191" s="47"/>
      <c r="C191" s="48"/>
      <c r="D191" s="48"/>
      <c r="E191" s="48"/>
      <c r="F191" s="48"/>
      <c r="G191" s="48"/>
      <c r="H191" s="48"/>
      <c r="I191" s="48"/>
      <c r="J191" s="48"/>
      <c r="K191" s="48"/>
      <c r="L191" s="48"/>
      <c r="M191" s="48"/>
      <c r="N191" s="48"/>
      <c r="O191" s="48"/>
      <c r="P191" s="48"/>
      <c r="Q191" s="48"/>
    </row>
    <row r="192" spans="2:17" s="46" customFormat="1" ht="15" customHeight="1">
      <c r="B192" s="47"/>
      <c r="C192" s="48"/>
      <c r="D192" s="48"/>
      <c r="E192" s="48"/>
      <c r="F192" s="48"/>
      <c r="G192" s="48"/>
      <c r="H192" s="48"/>
      <c r="I192" s="48"/>
      <c r="J192" s="48"/>
      <c r="K192" s="48"/>
      <c r="L192" s="48"/>
      <c r="M192" s="48"/>
      <c r="N192" s="48"/>
      <c r="O192" s="48"/>
      <c r="P192" s="48"/>
      <c r="Q192" s="48"/>
    </row>
    <row r="193" spans="2:17" s="46" customFormat="1" ht="15" customHeight="1">
      <c r="B193" s="47"/>
      <c r="C193" s="48"/>
      <c r="D193" s="48"/>
      <c r="E193" s="48"/>
      <c r="F193" s="48"/>
      <c r="G193" s="48"/>
      <c r="H193" s="48"/>
      <c r="I193" s="48"/>
      <c r="J193" s="48"/>
      <c r="K193" s="48"/>
      <c r="L193" s="48"/>
      <c r="M193" s="48"/>
      <c r="N193" s="48"/>
      <c r="O193" s="48"/>
      <c r="P193" s="48"/>
      <c r="Q193" s="48"/>
    </row>
    <row r="194" spans="2:17" s="46" customFormat="1" ht="15" customHeight="1">
      <c r="B194" s="47"/>
      <c r="C194" s="48"/>
      <c r="D194" s="48"/>
      <c r="E194" s="48"/>
      <c r="F194" s="48"/>
      <c r="G194" s="48"/>
      <c r="H194" s="48"/>
      <c r="I194" s="48"/>
      <c r="J194" s="48"/>
      <c r="K194" s="48"/>
      <c r="L194" s="48"/>
      <c r="M194" s="48"/>
      <c r="N194" s="48"/>
      <c r="O194" s="48"/>
      <c r="P194" s="48"/>
      <c r="Q194" s="48"/>
    </row>
    <row r="195" spans="2:17" s="46" customFormat="1" ht="15" customHeight="1">
      <c r="B195" s="47"/>
      <c r="C195" s="48"/>
      <c r="D195" s="48"/>
      <c r="E195" s="48"/>
      <c r="F195" s="48"/>
      <c r="G195" s="48"/>
      <c r="H195" s="48"/>
      <c r="I195" s="48"/>
      <c r="J195" s="48"/>
      <c r="K195" s="48"/>
      <c r="L195" s="48"/>
      <c r="M195" s="48"/>
      <c r="N195" s="48"/>
      <c r="O195" s="48"/>
      <c r="P195" s="48"/>
      <c r="Q195" s="48"/>
    </row>
    <row r="196" spans="2:17" s="46" customFormat="1" ht="15" customHeight="1">
      <c r="B196" s="47"/>
      <c r="C196" s="48"/>
      <c r="D196" s="48"/>
      <c r="E196" s="48"/>
      <c r="F196" s="48"/>
      <c r="G196" s="48"/>
      <c r="H196" s="48"/>
      <c r="I196" s="48"/>
      <c r="J196" s="48"/>
      <c r="K196" s="48"/>
      <c r="L196" s="48"/>
      <c r="M196" s="48"/>
      <c r="N196" s="48"/>
      <c r="O196" s="48"/>
      <c r="P196" s="48"/>
      <c r="Q196" s="48"/>
    </row>
    <row r="197" spans="2:17" s="46" customFormat="1" ht="15" customHeight="1">
      <c r="B197" s="47"/>
      <c r="C197" s="48"/>
      <c r="D197" s="48"/>
      <c r="E197" s="48"/>
      <c r="F197" s="48"/>
      <c r="G197" s="48"/>
      <c r="H197" s="48"/>
      <c r="I197" s="48"/>
      <c r="J197" s="48"/>
      <c r="K197" s="48"/>
      <c r="L197" s="48"/>
      <c r="M197" s="48"/>
      <c r="N197" s="48"/>
      <c r="O197" s="48"/>
      <c r="P197" s="48"/>
      <c r="Q197" s="48"/>
    </row>
    <row r="198" spans="2:17" s="46" customFormat="1" ht="15" customHeight="1">
      <c r="B198" s="47"/>
      <c r="C198" s="48"/>
      <c r="D198" s="48"/>
      <c r="E198" s="48"/>
      <c r="F198" s="48"/>
      <c r="G198" s="48"/>
      <c r="H198" s="48"/>
      <c r="I198" s="48"/>
      <c r="J198" s="48"/>
      <c r="K198" s="48"/>
      <c r="L198" s="48"/>
      <c r="M198" s="48"/>
      <c r="N198" s="48"/>
      <c r="O198" s="48"/>
      <c r="P198" s="48"/>
      <c r="Q198" s="48"/>
    </row>
    <row r="199" spans="2:17" s="46" customFormat="1" ht="15" customHeight="1">
      <c r="B199" s="47"/>
      <c r="C199" s="48"/>
      <c r="D199" s="48"/>
      <c r="E199" s="48"/>
      <c r="F199" s="48"/>
      <c r="G199" s="48"/>
      <c r="H199" s="48"/>
      <c r="I199" s="48"/>
      <c r="J199" s="48"/>
      <c r="K199" s="48"/>
      <c r="L199" s="48"/>
      <c r="M199" s="48"/>
      <c r="N199" s="48"/>
      <c r="O199" s="48"/>
      <c r="P199" s="48"/>
      <c r="Q199" s="48"/>
    </row>
    <row r="200" spans="2:17" s="46" customFormat="1" ht="15" customHeight="1">
      <c r="B200" s="47"/>
      <c r="C200" s="48"/>
      <c r="D200" s="48"/>
      <c r="E200" s="48"/>
      <c r="F200" s="48"/>
      <c r="G200" s="48"/>
      <c r="H200" s="48"/>
      <c r="I200" s="48"/>
      <c r="J200" s="48"/>
      <c r="K200" s="48"/>
      <c r="L200" s="48"/>
      <c r="M200" s="48"/>
      <c r="N200" s="48"/>
      <c r="O200" s="48"/>
      <c r="P200" s="48"/>
      <c r="Q200" s="48"/>
    </row>
    <row r="201" spans="2:17" s="46" customFormat="1" ht="15" customHeight="1">
      <c r="B201" s="47"/>
      <c r="C201" s="48"/>
      <c r="D201" s="48"/>
      <c r="E201" s="48"/>
      <c r="F201" s="48"/>
      <c r="G201" s="48"/>
      <c r="H201" s="48"/>
      <c r="I201" s="48"/>
      <c r="J201" s="48"/>
      <c r="K201" s="48"/>
      <c r="L201" s="48"/>
      <c r="M201" s="48"/>
      <c r="N201" s="48"/>
      <c r="O201" s="48"/>
      <c r="P201" s="48"/>
      <c r="Q201" s="48"/>
    </row>
    <row r="202" spans="2:17" s="46" customFormat="1" ht="15" customHeight="1">
      <c r="B202" s="47"/>
      <c r="C202" s="48"/>
      <c r="D202" s="48"/>
      <c r="E202" s="48"/>
      <c r="F202" s="48"/>
      <c r="G202" s="48"/>
      <c r="H202" s="48"/>
      <c r="I202" s="48"/>
      <c r="J202" s="48"/>
      <c r="K202" s="48"/>
      <c r="L202" s="48"/>
      <c r="M202" s="48"/>
      <c r="N202" s="48"/>
      <c r="O202" s="48"/>
      <c r="P202" s="48"/>
      <c r="Q202" s="48"/>
    </row>
    <row r="203" spans="2:17" s="46" customFormat="1" ht="15" customHeight="1">
      <c r="B203" s="47"/>
      <c r="C203" s="48"/>
      <c r="D203" s="48"/>
      <c r="E203" s="48"/>
      <c r="F203" s="48"/>
      <c r="G203" s="48"/>
      <c r="H203" s="48"/>
      <c r="I203" s="48"/>
      <c r="J203" s="48"/>
      <c r="K203" s="48"/>
      <c r="L203" s="48"/>
      <c r="M203" s="48"/>
      <c r="N203" s="48"/>
      <c r="O203" s="48"/>
      <c r="P203" s="48"/>
      <c r="Q203" s="48"/>
    </row>
    <row r="204" spans="2:17" s="46" customFormat="1" ht="15" customHeight="1">
      <c r="B204" s="47"/>
      <c r="C204" s="48"/>
      <c r="D204" s="48"/>
      <c r="E204" s="48"/>
      <c r="F204" s="48"/>
      <c r="G204" s="48"/>
      <c r="H204" s="48"/>
      <c r="I204" s="48"/>
      <c r="J204" s="48"/>
      <c r="K204" s="48"/>
      <c r="L204" s="48"/>
      <c r="M204" s="48"/>
      <c r="N204" s="48"/>
      <c r="O204" s="48"/>
      <c r="P204" s="48"/>
      <c r="Q204" s="48"/>
    </row>
    <row r="205" spans="2:17" s="46" customFormat="1" ht="15" customHeight="1">
      <c r="B205" s="47"/>
      <c r="C205" s="48"/>
      <c r="D205" s="48"/>
      <c r="E205" s="48"/>
      <c r="F205" s="48"/>
      <c r="G205" s="48"/>
      <c r="H205" s="48"/>
      <c r="I205" s="48"/>
      <c r="J205" s="48"/>
      <c r="K205" s="48"/>
      <c r="L205" s="48"/>
      <c r="M205" s="48"/>
      <c r="N205" s="48"/>
      <c r="O205" s="48"/>
      <c r="P205" s="48"/>
      <c r="Q205" s="48"/>
    </row>
    <row r="206" spans="2:17" s="46" customFormat="1" ht="15" customHeight="1">
      <c r="B206" s="47"/>
      <c r="C206" s="48"/>
      <c r="D206" s="48"/>
      <c r="E206" s="48"/>
      <c r="F206" s="48"/>
      <c r="G206" s="48"/>
      <c r="H206" s="48"/>
      <c r="I206" s="48"/>
      <c r="J206" s="48"/>
      <c r="K206" s="48"/>
      <c r="L206" s="48"/>
      <c r="M206" s="48"/>
      <c r="N206" s="48"/>
      <c r="O206" s="48"/>
      <c r="P206" s="48"/>
      <c r="Q206" s="48"/>
    </row>
    <row r="207" spans="2:17" s="46" customFormat="1" ht="15" customHeight="1">
      <c r="B207" s="47"/>
      <c r="C207" s="48"/>
      <c r="D207" s="48"/>
      <c r="E207" s="48"/>
      <c r="F207" s="48"/>
      <c r="G207" s="48"/>
      <c r="H207" s="48"/>
      <c r="I207" s="48"/>
      <c r="J207" s="48"/>
      <c r="K207" s="48"/>
      <c r="L207" s="48"/>
      <c r="M207" s="48"/>
      <c r="N207" s="48"/>
      <c r="O207" s="48"/>
      <c r="P207" s="48"/>
      <c r="Q207" s="48"/>
    </row>
    <row r="208" spans="2:17" s="46" customFormat="1" ht="15" customHeight="1">
      <c r="B208" s="47"/>
      <c r="C208" s="48"/>
      <c r="D208" s="48"/>
      <c r="E208" s="48"/>
      <c r="F208" s="48"/>
      <c r="G208" s="48"/>
      <c r="H208" s="48"/>
      <c r="I208" s="48"/>
      <c r="J208" s="48"/>
      <c r="K208" s="48"/>
      <c r="L208" s="48"/>
      <c r="M208" s="48"/>
      <c r="N208" s="48"/>
      <c r="O208" s="48"/>
      <c r="P208" s="48"/>
      <c r="Q208" s="48"/>
    </row>
    <row r="209" spans="2:17" s="46" customFormat="1" ht="15" customHeight="1">
      <c r="B209" s="47"/>
      <c r="C209" s="48"/>
      <c r="D209" s="48"/>
      <c r="E209" s="48"/>
      <c r="F209" s="48"/>
      <c r="G209" s="48"/>
      <c r="H209" s="48"/>
      <c r="I209" s="48"/>
      <c r="J209" s="48"/>
      <c r="K209" s="48"/>
      <c r="L209" s="48"/>
      <c r="M209" s="48"/>
      <c r="N209" s="48"/>
      <c r="O209" s="48"/>
      <c r="P209" s="48"/>
      <c r="Q209" s="48"/>
    </row>
    <row r="210" spans="2:17" s="46" customFormat="1" ht="15" customHeight="1">
      <c r="B210" s="47"/>
      <c r="C210" s="48"/>
      <c r="D210" s="48"/>
      <c r="E210" s="48"/>
      <c r="F210" s="48"/>
      <c r="G210" s="48"/>
      <c r="H210" s="48"/>
      <c r="I210" s="48"/>
      <c r="J210" s="48"/>
      <c r="K210" s="48"/>
      <c r="L210" s="48"/>
      <c r="M210" s="48"/>
      <c r="N210" s="48"/>
      <c r="O210" s="48"/>
      <c r="P210" s="48"/>
      <c r="Q210" s="48"/>
    </row>
    <row r="211" spans="2:17" s="46" customFormat="1" ht="15" customHeight="1">
      <c r="B211" s="47"/>
      <c r="C211" s="48"/>
      <c r="D211" s="48"/>
      <c r="E211" s="48"/>
      <c r="F211" s="48"/>
      <c r="G211" s="48"/>
      <c r="H211" s="48"/>
      <c r="I211" s="48"/>
      <c r="J211" s="48"/>
      <c r="K211" s="48"/>
      <c r="L211" s="48"/>
      <c r="M211" s="48"/>
      <c r="N211" s="48"/>
      <c r="O211" s="48"/>
      <c r="P211" s="48"/>
      <c r="Q211" s="48"/>
    </row>
    <row r="212" spans="2:17" s="46" customFormat="1" ht="15" customHeight="1">
      <c r="B212" s="47"/>
      <c r="C212" s="48"/>
      <c r="D212" s="48"/>
      <c r="E212" s="48"/>
      <c r="F212" s="48"/>
      <c r="G212" s="48"/>
      <c r="H212" s="48"/>
      <c r="I212" s="48"/>
      <c r="J212" s="48"/>
      <c r="K212" s="48"/>
      <c r="L212" s="48"/>
      <c r="M212" s="48"/>
      <c r="N212" s="48"/>
      <c r="O212" s="48"/>
      <c r="P212" s="48"/>
      <c r="Q212" s="48"/>
    </row>
    <row r="213" spans="2:17" s="46" customFormat="1" ht="15" customHeight="1">
      <c r="B213" s="47"/>
      <c r="C213" s="48"/>
      <c r="D213" s="48"/>
      <c r="E213" s="48"/>
      <c r="F213" s="48"/>
      <c r="G213" s="48"/>
      <c r="H213" s="48"/>
      <c r="I213" s="48"/>
      <c r="J213" s="48"/>
      <c r="K213" s="48"/>
      <c r="L213" s="48"/>
      <c r="M213" s="48"/>
      <c r="N213" s="48"/>
      <c r="O213" s="48"/>
      <c r="P213" s="48"/>
      <c r="Q213" s="48"/>
    </row>
    <row r="214" spans="2:17" s="46" customFormat="1" ht="15" customHeight="1">
      <c r="B214" s="47"/>
      <c r="C214" s="48"/>
      <c r="D214" s="48"/>
      <c r="E214" s="48"/>
      <c r="F214" s="48"/>
      <c r="G214" s="48"/>
      <c r="H214" s="48"/>
      <c r="I214" s="48"/>
      <c r="J214" s="48"/>
      <c r="K214" s="48"/>
      <c r="L214" s="48"/>
      <c r="M214" s="48"/>
      <c r="N214" s="48"/>
      <c r="O214" s="48"/>
      <c r="P214" s="48"/>
      <c r="Q214" s="48"/>
    </row>
    <row r="215" spans="2:17" s="46" customFormat="1" ht="15" customHeight="1">
      <c r="B215" s="47"/>
      <c r="C215" s="48"/>
      <c r="D215" s="48"/>
      <c r="E215" s="48"/>
      <c r="F215" s="48"/>
      <c r="G215" s="48"/>
      <c r="H215" s="48"/>
      <c r="I215" s="48"/>
      <c r="J215" s="48"/>
      <c r="K215" s="48"/>
      <c r="L215" s="48"/>
      <c r="M215" s="48"/>
      <c r="N215" s="48"/>
      <c r="O215" s="48"/>
      <c r="P215" s="48"/>
      <c r="Q215" s="48"/>
    </row>
    <row r="216" spans="2:17" s="46" customFormat="1" ht="15" customHeight="1">
      <c r="B216" s="47"/>
      <c r="C216" s="48"/>
      <c r="D216" s="48"/>
      <c r="E216" s="48"/>
      <c r="F216" s="48"/>
      <c r="G216" s="48"/>
      <c r="H216" s="48"/>
      <c r="I216" s="48"/>
      <c r="J216" s="48"/>
      <c r="K216" s="48"/>
      <c r="L216" s="48"/>
      <c r="M216" s="48"/>
      <c r="N216" s="48"/>
      <c r="O216" s="48"/>
      <c r="P216" s="48"/>
      <c r="Q216" s="48"/>
    </row>
    <row r="217" spans="2:17" s="46" customFormat="1" ht="15" customHeight="1">
      <c r="B217" s="47"/>
      <c r="C217" s="48"/>
      <c r="D217" s="48"/>
      <c r="E217" s="48"/>
      <c r="F217" s="48"/>
      <c r="G217" s="48"/>
      <c r="H217" s="48"/>
      <c r="I217" s="48"/>
      <c r="J217" s="48"/>
      <c r="K217" s="48"/>
      <c r="L217" s="48"/>
      <c r="M217" s="48"/>
      <c r="N217" s="48"/>
      <c r="O217" s="48"/>
      <c r="P217" s="48"/>
      <c r="Q217" s="48"/>
    </row>
    <row r="218" spans="2:17" s="46" customFormat="1" ht="15" customHeight="1">
      <c r="B218" s="47"/>
      <c r="C218" s="48"/>
      <c r="D218" s="48"/>
      <c r="E218" s="48"/>
      <c r="F218" s="48"/>
      <c r="G218" s="48"/>
      <c r="H218" s="48"/>
      <c r="I218" s="48"/>
      <c r="J218" s="48"/>
      <c r="K218" s="48"/>
      <c r="L218" s="48"/>
      <c r="M218" s="48"/>
      <c r="N218" s="48"/>
      <c r="O218" s="48"/>
      <c r="P218" s="48"/>
      <c r="Q218" s="48"/>
    </row>
    <row r="219" spans="2:17" s="46" customFormat="1" ht="15" customHeight="1">
      <c r="B219" s="47"/>
      <c r="C219" s="48"/>
      <c r="D219" s="48"/>
      <c r="E219" s="48"/>
      <c r="F219" s="48"/>
      <c r="G219" s="48"/>
      <c r="H219" s="48"/>
      <c r="I219" s="48"/>
      <c r="J219" s="48"/>
      <c r="K219" s="48"/>
      <c r="L219" s="48"/>
      <c r="M219" s="48"/>
      <c r="N219" s="48"/>
      <c r="O219" s="48"/>
      <c r="P219" s="48"/>
      <c r="Q219" s="48"/>
    </row>
    <row r="220" spans="2:17" s="46" customFormat="1" ht="15" customHeight="1">
      <c r="B220" s="47"/>
      <c r="C220" s="48"/>
      <c r="D220" s="48"/>
      <c r="E220" s="48"/>
      <c r="F220" s="48"/>
      <c r="G220" s="48"/>
      <c r="H220" s="48"/>
      <c r="I220" s="48"/>
      <c r="J220" s="48"/>
      <c r="K220" s="48"/>
      <c r="L220" s="48"/>
      <c r="M220" s="48"/>
      <c r="N220" s="48"/>
      <c r="O220" s="48"/>
      <c r="P220" s="48"/>
      <c r="Q220" s="48"/>
    </row>
    <row r="221" spans="2:17" s="46" customFormat="1" ht="15" customHeight="1">
      <c r="B221" s="47"/>
      <c r="C221" s="48"/>
      <c r="D221" s="48"/>
      <c r="E221" s="48"/>
      <c r="F221" s="48"/>
      <c r="G221" s="48"/>
      <c r="H221" s="48"/>
      <c r="I221" s="48"/>
      <c r="J221" s="48"/>
      <c r="K221" s="48"/>
      <c r="L221" s="48"/>
      <c r="M221" s="48"/>
      <c r="N221" s="48"/>
      <c r="O221" s="48"/>
      <c r="P221" s="48"/>
      <c r="Q221" s="48"/>
    </row>
    <row r="222" spans="2:17" s="46" customFormat="1" ht="15" customHeight="1">
      <c r="B222" s="47"/>
      <c r="C222" s="48"/>
      <c r="D222" s="48"/>
      <c r="E222" s="48"/>
      <c r="F222" s="48"/>
      <c r="G222" s="48"/>
      <c r="H222" s="48"/>
      <c r="I222" s="48"/>
      <c r="J222" s="48"/>
      <c r="K222" s="48"/>
      <c r="L222" s="48"/>
      <c r="M222" s="48"/>
      <c r="N222" s="48"/>
      <c r="O222" s="48"/>
      <c r="P222" s="48"/>
      <c r="Q222" s="48"/>
    </row>
    <row r="223" spans="2:17" s="46" customFormat="1" ht="15" customHeight="1">
      <c r="B223" s="47"/>
      <c r="C223" s="48"/>
      <c r="D223" s="48"/>
      <c r="E223" s="48"/>
      <c r="F223" s="48"/>
      <c r="G223" s="48"/>
      <c r="H223" s="48"/>
      <c r="I223" s="48"/>
      <c r="J223" s="48"/>
      <c r="K223" s="48"/>
      <c r="L223" s="48"/>
      <c r="M223" s="48"/>
      <c r="N223" s="48"/>
      <c r="O223" s="48"/>
      <c r="P223" s="48"/>
      <c r="Q223" s="48"/>
    </row>
    <row r="224" spans="2:17" s="46" customFormat="1" ht="15" customHeight="1">
      <c r="B224" s="47"/>
      <c r="C224" s="48"/>
      <c r="D224" s="48"/>
      <c r="E224" s="48"/>
      <c r="F224" s="48"/>
      <c r="G224" s="48"/>
      <c r="H224" s="48"/>
      <c r="I224" s="48"/>
      <c r="J224" s="48"/>
      <c r="K224" s="48"/>
      <c r="L224" s="48"/>
      <c r="M224" s="48"/>
      <c r="N224" s="48"/>
      <c r="O224" s="48"/>
      <c r="P224" s="48"/>
      <c r="Q224" s="48"/>
    </row>
    <row r="225" spans="2:17" s="46" customFormat="1" ht="15" customHeight="1">
      <c r="B225" s="47"/>
      <c r="C225" s="48"/>
      <c r="D225" s="48"/>
      <c r="E225" s="48"/>
      <c r="F225" s="48"/>
      <c r="G225" s="48"/>
      <c r="H225" s="48"/>
      <c r="I225" s="48"/>
      <c r="J225" s="48"/>
      <c r="K225" s="48"/>
      <c r="L225" s="48"/>
      <c r="M225" s="48"/>
      <c r="N225" s="48"/>
      <c r="O225" s="48"/>
      <c r="P225" s="48"/>
      <c r="Q225" s="48"/>
    </row>
    <row r="226" spans="2:17" s="46" customFormat="1" ht="15" customHeight="1">
      <c r="B226" s="47"/>
      <c r="C226" s="48"/>
      <c r="D226" s="48"/>
      <c r="E226" s="48"/>
      <c r="F226" s="48"/>
      <c r="G226" s="48"/>
      <c r="H226" s="48"/>
      <c r="I226" s="48"/>
      <c r="J226" s="48"/>
      <c r="K226" s="48"/>
      <c r="L226" s="48"/>
      <c r="M226" s="48"/>
      <c r="N226" s="48"/>
      <c r="O226" s="48"/>
      <c r="P226" s="48"/>
      <c r="Q226" s="48"/>
    </row>
    <row r="227" spans="2:17" s="46" customFormat="1" ht="15" customHeight="1">
      <c r="B227" s="47"/>
      <c r="C227" s="48"/>
      <c r="D227" s="48"/>
      <c r="E227" s="48"/>
      <c r="F227" s="48"/>
      <c r="G227" s="48"/>
      <c r="H227" s="48"/>
      <c r="I227" s="48"/>
      <c r="J227" s="48"/>
      <c r="K227" s="48"/>
      <c r="L227" s="48"/>
      <c r="M227" s="48"/>
      <c r="N227" s="48"/>
      <c r="O227" s="48"/>
      <c r="P227" s="48"/>
      <c r="Q227" s="48"/>
    </row>
    <row r="228" spans="2:17" s="46" customFormat="1" ht="15" customHeight="1">
      <c r="B228" s="47"/>
      <c r="C228" s="48"/>
      <c r="D228" s="48"/>
      <c r="E228" s="48"/>
      <c r="F228" s="48"/>
      <c r="G228" s="48"/>
      <c r="H228" s="48"/>
      <c r="I228" s="48"/>
      <c r="J228" s="48"/>
      <c r="K228" s="48"/>
      <c r="L228" s="48"/>
      <c r="M228" s="48"/>
      <c r="N228" s="48"/>
      <c r="O228" s="48"/>
      <c r="P228" s="48"/>
      <c r="Q228" s="48"/>
    </row>
    <row r="229" spans="2:17" s="46" customFormat="1" ht="15" customHeight="1">
      <c r="B229" s="47"/>
      <c r="C229" s="48"/>
      <c r="D229" s="48"/>
      <c r="E229" s="48"/>
      <c r="F229" s="48"/>
      <c r="G229" s="48"/>
      <c r="H229" s="48"/>
      <c r="I229" s="48"/>
      <c r="J229" s="48"/>
      <c r="K229" s="48"/>
      <c r="L229" s="48"/>
      <c r="M229" s="48"/>
      <c r="N229" s="48"/>
      <c r="O229" s="48"/>
      <c r="P229" s="48"/>
      <c r="Q229" s="48"/>
    </row>
    <row r="230" spans="2:17" s="46" customFormat="1" ht="15" customHeight="1">
      <c r="B230" s="47"/>
      <c r="C230" s="48"/>
      <c r="D230" s="48"/>
      <c r="E230" s="48"/>
      <c r="F230" s="48"/>
      <c r="G230" s="48"/>
      <c r="H230" s="48"/>
      <c r="I230" s="48"/>
      <c r="J230" s="48"/>
      <c r="K230" s="48"/>
      <c r="L230" s="48"/>
      <c r="M230" s="48"/>
      <c r="N230" s="48"/>
      <c r="O230" s="48"/>
      <c r="P230" s="48"/>
      <c r="Q230" s="48"/>
    </row>
    <row r="231" spans="2:17" s="46" customFormat="1" ht="15" customHeight="1">
      <c r="B231" s="47"/>
      <c r="C231" s="48"/>
      <c r="D231" s="48"/>
      <c r="E231" s="48"/>
      <c r="F231" s="48"/>
      <c r="G231" s="48"/>
      <c r="H231" s="48"/>
      <c r="I231" s="48"/>
      <c r="J231" s="48"/>
      <c r="K231" s="48"/>
      <c r="L231" s="48"/>
      <c r="M231" s="48"/>
      <c r="N231" s="48"/>
      <c r="O231" s="48"/>
      <c r="P231" s="48"/>
      <c r="Q231" s="48"/>
    </row>
    <row r="232" spans="2:17" s="46" customFormat="1" ht="15" customHeight="1">
      <c r="B232" s="47"/>
      <c r="C232" s="48"/>
      <c r="D232" s="48"/>
      <c r="E232" s="48"/>
      <c r="F232" s="48"/>
      <c r="G232" s="48"/>
      <c r="H232" s="48"/>
      <c r="I232" s="48"/>
      <c r="J232" s="48"/>
      <c r="K232" s="48"/>
      <c r="L232" s="48"/>
      <c r="M232" s="48"/>
      <c r="N232" s="48"/>
      <c r="O232" s="48"/>
      <c r="P232" s="48"/>
      <c r="Q232" s="48"/>
    </row>
    <row r="233" spans="2:17" s="46" customFormat="1" ht="15" customHeight="1">
      <c r="B233" s="47"/>
      <c r="C233" s="48"/>
      <c r="D233" s="48"/>
      <c r="E233" s="48"/>
      <c r="F233" s="48"/>
      <c r="G233" s="48"/>
      <c r="H233" s="48"/>
      <c r="I233" s="48"/>
      <c r="J233" s="48"/>
      <c r="K233" s="48"/>
      <c r="L233" s="48"/>
      <c r="M233" s="48"/>
      <c r="N233" s="48"/>
      <c r="O233" s="48"/>
      <c r="P233" s="48"/>
      <c r="Q233" s="48"/>
    </row>
    <row r="234" spans="2:17" s="46" customFormat="1" ht="15" customHeight="1">
      <c r="B234" s="47"/>
      <c r="C234" s="48"/>
      <c r="D234" s="48"/>
      <c r="E234" s="48"/>
      <c r="F234" s="48"/>
      <c r="G234" s="48"/>
      <c r="H234" s="48"/>
      <c r="I234" s="48"/>
      <c r="J234" s="48"/>
      <c r="K234" s="48"/>
      <c r="L234" s="48"/>
      <c r="M234" s="48"/>
      <c r="N234" s="48"/>
      <c r="O234" s="48"/>
      <c r="P234" s="48"/>
      <c r="Q234" s="48"/>
    </row>
    <row r="235" spans="2:17" s="46" customFormat="1" ht="15" customHeight="1">
      <c r="B235" s="47"/>
      <c r="C235" s="48"/>
      <c r="D235" s="48"/>
      <c r="E235" s="48"/>
      <c r="F235" s="48"/>
      <c r="G235" s="48"/>
      <c r="H235" s="48"/>
      <c r="I235" s="48"/>
      <c r="J235" s="48"/>
      <c r="K235" s="48"/>
      <c r="L235" s="48"/>
      <c r="M235" s="48"/>
      <c r="N235" s="48"/>
      <c r="O235" s="48"/>
      <c r="P235" s="48"/>
      <c r="Q235" s="48"/>
    </row>
    <row r="236" spans="2:17" s="46" customFormat="1" ht="15" customHeight="1">
      <c r="B236" s="47"/>
      <c r="C236" s="48"/>
      <c r="D236" s="48"/>
      <c r="E236" s="48"/>
      <c r="F236" s="48"/>
      <c r="G236" s="48"/>
      <c r="H236" s="48"/>
      <c r="I236" s="48"/>
      <c r="J236" s="48"/>
      <c r="K236" s="48"/>
      <c r="L236" s="48"/>
      <c r="M236" s="48"/>
      <c r="N236" s="48"/>
      <c r="O236" s="48"/>
      <c r="P236" s="48"/>
      <c r="Q236" s="48"/>
    </row>
    <row r="237" spans="2:17" s="46" customFormat="1" ht="15" customHeight="1">
      <c r="B237" s="47"/>
      <c r="C237" s="48"/>
      <c r="D237" s="48"/>
      <c r="E237" s="48"/>
      <c r="F237" s="48"/>
      <c r="G237" s="48"/>
      <c r="H237" s="48"/>
      <c r="I237" s="48"/>
      <c r="J237" s="48"/>
      <c r="K237" s="48"/>
      <c r="L237" s="48"/>
      <c r="M237" s="48"/>
      <c r="N237" s="48"/>
      <c r="O237" s="48"/>
      <c r="P237" s="48"/>
      <c r="Q237" s="48"/>
    </row>
    <row r="238" spans="2:17" s="46" customFormat="1" ht="15" customHeight="1">
      <c r="B238" s="47"/>
      <c r="C238" s="48"/>
      <c r="D238" s="48"/>
      <c r="E238" s="48"/>
      <c r="F238" s="48"/>
      <c r="G238" s="48"/>
      <c r="H238" s="48"/>
      <c r="I238" s="48"/>
      <c r="J238" s="48"/>
      <c r="K238" s="48"/>
      <c r="L238" s="48"/>
      <c r="M238" s="48"/>
      <c r="N238" s="48"/>
      <c r="O238" s="48"/>
      <c r="P238" s="48"/>
      <c r="Q238" s="48"/>
    </row>
    <row r="239" spans="2:17" s="46" customFormat="1" ht="15" customHeight="1">
      <c r="B239" s="47"/>
      <c r="C239" s="48"/>
      <c r="D239" s="48"/>
      <c r="E239" s="48"/>
      <c r="F239" s="48"/>
      <c r="G239" s="48"/>
      <c r="H239" s="48"/>
      <c r="I239" s="48"/>
      <c r="J239" s="48"/>
      <c r="K239" s="48"/>
      <c r="L239" s="48"/>
      <c r="M239" s="48"/>
      <c r="N239" s="48"/>
      <c r="O239" s="48"/>
      <c r="P239" s="48"/>
      <c r="Q239" s="48"/>
    </row>
    <row r="240" spans="2:17" s="46" customFormat="1" ht="15" customHeight="1">
      <c r="B240" s="47"/>
      <c r="C240" s="48"/>
      <c r="D240" s="48"/>
      <c r="E240" s="48"/>
      <c r="F240" s="48"/>
      <c r="G240" s="48"/>
      <c r="H240" s="48"/>
      <c r="I240" s="48"/>
      <c r="J240" s="48"/>
      <c r="K240" s="48"/>
      <c r="L240" s="48"/>
      <c r="M240" s="48"/>
      <c r="N240" s="48"/>
      <c r="O240" s="48"/>
      <c r="P240" s="48"/>
      <c r="Q240" s="48"/>
    </row>
    <row r="241" spans="2:17" s="46" customFormat="1" ht="15" customHeight="1">
      <c r="B241" s="47"/>
      <c r="C241" s="48"/>
      <c r="D241" s="48"/>
      <c r="E241" s="48"/>
      <c r="F241" s="48"/>
      <c r="G241" s="48"/>
      <c r="H241" s="48"/>
      <c r="I241" s="48"/>
      <c r="J241" s="48"/>
      <c r="K241" s="48"/>
      <c r="L241" s="48"/>
      <c r="M241" s="48"/>
      <c r="N241" s="48"/>
      <c r="O241" s="48"/>
      <c r="P241" s="48"/>
      <c r="Q241" s="48"/>
    </row>
    <row r="242" spans="2:17" s="46" customFormat="1" ht="15" customHeight="1">
      <c r="B242" s="47"/>
      <c r="C242" s="48"/>
      <c r="D242" s="48"/>
      <c r="E242" s="48"/>
      <c r="F242" s="48"/>
      <c r="G242" s="48"/>
      <c r="H242" s="48"/>
      <c r="I242" s="48"/>
      <c r="J242" s="48"/>
      <c r="K242" s="48"/>
      <c r="L242" s="48"/>
      <c r="M242" s="48"/>
      <c r="N242" s="48"/>
      <c r="O242" s="48"/>
      <c r="P242" s="48"/>
      <c r="Q242" s="48"/>
    </row>
    <row r="243" spans="2:17" s="46" customFormat="1" ht="15" customHeight="1">
      <c r="B243" s="47"/>
      <c r="C243" s="48"/>
      <c r="D243" s="48"/>
      <c r="E243" s="48"/>
      <c r="F243" s="48"/>
      <c r="G243" s="48"/>
      <c r="H243" s="48"/>
      <c r="I243" s="48"/>
      <c r="J243" s="48"/>
      <c r="K243" s="48"/>
      <c r="L243" s="48"/>
      <c r="M243" s="48"/>
      <c r="N243" s="48"/>
      <c r="O243" s="48"/>
      <c r="P243" s="48"/>
      <c r="Q243" s="48"/>
    </row>
    <row r="244" spans="2:17" s="46" customFormat="1" ht="15" customHeight="1">
      <c r="B244" s="47"/>
      <c r="C244" s="48"/>
      <c r="D244" s="48"/>
      <c r="E244" s="48"/>
      <c r="F244" s="48"/>
      <c r="G244" s="48"/>
      <c r="H244" s="48"/>
      <c r="I244" s="48"/>
      <c r="J244" s="48"/>
      <c r="K244" s="48"/>
      <c r="L244" s="48"/>
      <c r="M244" s="48"/>
      <c r="N244" s="48"/>
      <c r="O244" s="48"/>
      <c r="P244" s="48"/>
      <c r="Q244" s="48"/>
    </row>
    <row r="245" spans="2:17" s="46" customFormat="1" ht="15" customHeight="1">
      <c r="B245" s="47"/>
      <c r="C245" s="48"/>
      <c r="D245" s="48"/>
      <c r="E245" s="48"/>
      <c r="F245" s="48"/>
      <c r="G245" s="48"/>
      <c r="H245" s="48"/>
      <c r="I245" s="48"/>
      <c r="J245" s="48"/>
      <c r="K245" s="48"/>
      <c r="L245" s="48"/>
      <c r="M245" s="48"/>
      <c r="N245" s="48"/>
      <c r="O245" s="48"/>
      <c r="P245" s="48"/>
      <c r="Q245" s="48"/>
    </row>
    <row r="246" spans="2:17" s="46" customFormat="1" ht="15" customHeight="1">
      <c r="B246" s="47"/>
      <c r="C246" s="48"/>
      <c r="D246" s="48"/>
      <c r="E246" s="48"/>
      <c r="F246" s="48"/>
      <c r="G246" s="48"/>
      <c r="H246" s="48"/>
      <c r="I246" s="48"/>
      <c r="J246" s="48"/>
      <c r="K246" s="48"/>
      <c r="L246" s="48"/>
      <c r="M246" s="48"/>
      <c r="N246" s="48"/>
      <c r="O246" s="48"/>
      <c r="P246" s="48"/>
      <c r="Q246" s="48"/>
    </row>
    <row r="247" spans="2:17" s="46" customFormat="1" ht="15" customHeight="1">
      <c r="B247" s="47"/>
      <c r="C247" s="48"/>
      <c r="D247" s="48"/>
      <c r="E247" s="48"/>
      <c r="F247" s="48"/>
      <c r="G247" s="48"/>
      <c r="H247" s="48"/>
      <c r="I247" s="48"/>
      <c r="J247" s="48"/>
      <c r="K247" s="48"/>
      <c r="L247" s="48"/>
      <c r="M247" s="48"/>
      <c r="N247" s="48"/>
      <c r="O247" s="48"/>
      <c r="P247" s="48"/>
      <c r="Q247" s="48"/>
    </row>
    <row r="248" spans="2:17" s="46" customFormat="1" ht="15" customHeight="1">
      <c r="B248" s="47"/>
      <c r="C248" s="48"/>
      <c r="D248" s="48"/>
      <c r="E248" s="48"/>
      <c r="F248" s="48"/>
      <c r="G248" s="48"/>
      <c r="H248" s="48"/>
      <c r="I248" s="48"/>
      <c r="J248" s="48"/>
      <c r="K248" s="48"/>
      <c r="L248" s="48"/>
      <c r="M248" s="48"/>
      <c r="N248" s="48"/>
      <c r="O248" s="48"/>
      <c r="P248" s="48"/>
      <c r="Q248" s="48"/>
    </row>
    <row r="249" spans="2:17" s="46" customFormat="1" ht="15" customHeight="1">
      <c r="B249" s="47"/>
      <c r="C249" s="48"/>
      <c r="D249" s="48"/>
      <c r="E249" s="48"/>
      <c r="F249" s="48"/>
      <c r="G249" s="48"/>
      <c r="H249" s="48"/>
      <c r="I249" s="48"/>
      <c r="J249" s="48"/>
      <c r="K249" s="48"/>
      <c r="L249" s="48"/>
      <c r="M249" s="48"/>
      <c r="N249" s="48"/>
      <c r="O249" s="48"/>
      <c r="P249" s="48"/>
      <c r="Q249" s="48"/>
    </row>
    <row r="250" spans="2:17" s="46" customFormat="1" ht="15" customHeight="1">
      <c r="B250" s="47"/>
      <c r="C250" s="48"/>
      <c r="D250" s="48"/>
      <c r="E250" s="48"/>
      <c r="F250" s="48"/>
      <c r="G250" s="48"/>
      <c r="H250" s="48"/>
      <c r="I250" s="48"/>
      <c r="J250" s="48"/>
      <c r="K250" s="48"/>
      <c r="L250" s="48"/>
      <c r="M250" s="48"/>
      <c r="N250" s="48"/>
      <c r="O250" s="48"/>
      <c r="P250" s="48"/>
      <c r="Q250" s="48"/>
    </row>
    <row r="251" spans="2:17" s="46" customFormat="1" ht="15" customHeight="1">
      <c r="B251" s="47"/>
      <c r="C251" s="48"/>
      <c r="D251" s="48"/>
      <c r="E251" s="48"/>
      <c r="F251" s="48"/>
      <c r="G251" s="48"/>
      <c r="H251" s="48"/>
      <c r="I251" s="48"/>
      <c r="J251" s="48"/>
      <c r="K251" s="48"/>
      <c r="L251" s="48"/>
      <c r="M251" s="48"/>
      <c r="N251" s="48"/>
      <c r="O251" s="48"/>
      <c r="P251" s="48"/>
      <c r="Q251" s="48"/>
    </row>
    <row r="252" spans="2:17" s="46" customFormat="1" ht="15" customHeight="1">
      <c r="B252" s="47"/>
      <c r="C252" s="48"/>
      <c r="D252" s="48"/>
      <c r="E252" s="48"/>
      <c r="F252" s="48"/>
      <c r="G252" s="48"/>
      <c r="H252" s="48"/>
      <c r="I252" s="48"/>
      <c r="J252" s="48"/>
      <c r="K252" s="48"/>
      <c r="L252" s="48"/>
      <c r="M252" s="48"/>
      <c r="N252" s="48"/>
      <c r="O252" s="48"/>
      <c r="P252" s="48"/>
      <c r="Q252" s="48"/>
    </row>
    <row r="253" spans="2:17" s="46" customFormat="1" ht="15" customHeight="1">
      <c r="B253" s="47"/>
      <c r="C253" s="48"/>
      <c r="D253" s="48"/>
      <c r="E253" s="48"/>
      <c r="F253" s="48"/>
      <c r="G253" s="48"/>
      <c r="H253" s="48"/>
      <c r="I253" s="48"/>
      <c r="J253" s="48"/>
      <c r="K253" s="48"/>
      <c r="L253" s="48"/>
      <c r="M253" s="48"/>
      <c r="N253" s="48"/>
      <c r="O253" s="48"/>
      <c r="P253" s="48"/>
      <c r="Q253" s="48"/>
    </row>
    <row r="254" spans="2:17" s="46" customFormat="1" ht="15" customHeight="1">
      <c r="B254" s="47"/>
      <c r="C254" s="48"/>
      <c r="D254" s="48"/>
      <c r="E254" s="48"/>
      <c r="F254" s="48"/>
      <c r="G254" s="48"/>
      <c r="H254" s="48"/>
      <c r="I254" s="48"/>
      <c r="J254" s="48"/>
      <c r="K254" s="48"/>
      <c r="L254" s="48"/>
      <c r="M254" s="48"/>
      <c r="N254" s="48"/>
      <c r="O254" s="48"/>
      <c r="P254" s="48"/>
      <c r="Q254" s="48"/>
    </row>
    <row r="255" spans="2:17" s="46" customFormat="1" ht="15" customHeight="1">
      <c r="B255" s="47"/>
      <c r="C255" s="48"/>
      <c r="D255" s="48"/>
      <c r="E255" s="48"/>
      <c r="F255" s="48"/>
      <c r="G255" s="48"/>
      <c r="H255" s="48"/>
      <c r="I255" s="48"/>
      <c r="J255" s="48"/>
      <c r="K255" s="48"/>
      <c r="L255" s="48"/>
      <c r="M255" s="48"/>
      <c r="N255" s="48"/>
      <c r="O255" s="48"/>
      <c r="P255" s="48"/>
      <c r="Q255" s="48"/>
    </row>
    <row r="256" spans="2:17" s="46" customFormat="1" ht="15" customHeight="1">
      <c r="B256" s="47"/>
      <c r="C256" s="48"/>
      <c r="D256" s="48"/>
      <c r="E256" s="48"/>
      <c r="F256" s="48"/>
      <c r="G256" s="48"/>
      <c r="H256" s="48"/>
      <c r="I256" s="48"/>
      <c r="J256" s="48"/>
      <c r="K256" s="48"/>
      <c r="L256" s="48"/>
      <c r="M256" s="48"/>
      <c r="N256" s="48"/>
      <c r="O256" s="48"/>
      <c r="P256" s="48"/>
      <c r="Q256" s="48"/>
    </row>
    <row r="257" spans="2:17" s="46" customFormat="1" ht="15" customHeight="1">
      <c r="B257" s="47"/>
      <c r="C257" s="48"/>
      <c r="D257" s="48"/>
      <c r="E257" s="48"/>
      <c r="F257" s="48"/>
      <c r="G257" s="48"/>
      <c r="H257" s="48"/>
      <c r="I257" s="48"/>
      <c r="J257" s="48"/>
      <c r="K257" s="48"/>
      <c r="L257" s="48"/>
      <c r="M257" s="48"/>
      <c r="N257" s="48"/>
      <c r="O257" s="48"/>
      <c r="P257" s="48"/>
      <c r="Q257" s="48"/>
    </row>
    <row r="258" spans="2:17" s="46" customFormat="1" ht="15" customHeight="1">
      <c r="B258" s="47"/>
      <c r="C258" s="48"/>
      <c r="D258" s="48"/>
      <c r="E258" s="48"/>
      <c r="F258" s="48"/>
      <c r="G258" s="48"/>
      <c r="H258" s="48"/>
      <c r="I258" s="48"/>
      <c r="J258" s="48"/>
      <c r="K258" s="48"/>
      <c r="L258" s="48"/>
      <c r="M258" s="48"/>
      <c r="N258" s="48"/>
      <c r="O258" s="48"/>
      <c r="P258" s="48"/>
      <c r="Q258" s="48"/>
    </row>
    <row r="259" spans="2:17" s="46" customFormat="1" ht="15" customHeight="1">
      <c r="B259" s="47"/>
      <c r="C259" s="48"/>
      <c r="D259" s="48"/>
      <c r="E259" s="48"/>
      <c r="F259" s="48"/>
      <c r="G259" s="48"/>
      <c r="H259" s="48"/>
      <c r="I259" s="48"/>
      <c r="J259" s="48"/>
      <c r="K259" s="48"/>
      <c r="L259" s="48"/>
      <c r="M259" s="48"/>
      <c r="N259" s="48"/>
      <c r="O259" s="48"/>
      <c r="P259" s="48"/>
      <c r="Q259" s="48"/>
    </row>
    <row r="260" spans="2:17" s="46" customFormat="1" ht="15" customHeight="1">
      <c r="B260" s="47"/>
      <c r="C260" s="48"/>
      <c r="D260" s="48"/>
      <c r="E260" s="48"/>
      <c r="F260" s="48"/>
      <c r="G260" s="48"/>
      <c r="H260" s="48"/>
      <c r="I260" s="48"/>
      <c r="J260" s="48"/>
      <c r="K260" s="48"/>
      <c r="L260" s="48"/>
      <c r="M260" s="48"/>
      <c r="N260" s="48"/>
      <c r="O260" s="48"/>
      <c r="P260" s="48"/>
      <c r="Q260" s="48"/>
    </row>
    <row r="261" spans="2:17" s="46" customFormat="1" ht="15" customHeight="1">
      <c r="B261" s="47"/>
      <c r="C261" s="48"/>
      <c r="D261" s="48"/>
      <c r="E261" s="48"/>
      <c r="F261" s="48"/>
      <c r="G261" s="48"/>
      <c r="H261" s="48"/>
      <c r="I261" s="48"/>
      <c r="J261" s="48"/>
      <c r="K261" s="48"/>
      <c r="L261" s="48"/>
      <c r="M261" s="48"/>
      <c r="N261" s="48"/>
      <c r="O261" s="48"/>
      <c r="P261" s="48"/>
      <c r="Q261" s="48"/>
    </row>
    <row r="262" spans="2:17" s="46" customFormat="1" ht="15" customHeight="1">
      <c r="B262" s="47"/>
      <c r="C262" s="48"/>
      <c r="D262" s="48"/>
      <c r="E262" s="48"/>
      <c r="F262" s="48"/>
      <c r="G262" s="48"/>
      <c r="H262" s="48"/>
      <c r="I262" s="48"/>
      <c r="J262" s="48"/>
      <c r="K262" s="48"/>
      <c r="L262" s="48"/>
      <c r="M262" s="48"/>
      <c r="N262" s="48"/>
      <c r="O262" s="48"/>
      <c r="P262" s="48"/>
      <c r="Q262" s="48"/>
    </row>
    <row r="263" spans="2:17" s="46" customFormat="1" ht="15" customHeight="1">
      <c r="B263" s="47"/>
      <c r="C263" s="48"/>
      <c r="D263" s="48"/>
      <c r="E263" s="48"/>
      <c r="F263" s="48"/>
      <c r="G263" s="48"/>
      <c r="H263" s="48"/>
      <c r="I263" s="48"/>
      <c r="J263" s="48"/>
      <c r="K263" s="48"/>
      <c r="L263" s="48"/>
      <c r="M263" s="48"/>
      <c r="N263" s="48"/>
      <c r="O263" s="48"/>
      <c r="P263" s="48"/>
      <c r="Q263" s="48"/>
    </row>
    <row r="264" spans="2:17" s="46" customFormat="1" ht="15" customHeight="1">
      <c r="B264" s="47"/>
      <c r="C264" s="48"/>
      <c r="D264" s="48"/>
      <c r="E264" s="48"/>
      <c r="F264" s="48"/>
      <c r="G264" s="48"/>
      <c r="H264" s="48"/>
      <c r="I264" s="48"/>
      <c r="J264" s="48"/>
      <c r="K264" s="48"/>
      <c r="L264" s="48"/>
      <c r="M264" s="48"/>
      <c r="N264" s="48"/>
      <c r="O264" s="48"/>
      <c r="P264" s="48"/>
      <c r="Q264" s="48"/>
    </row>
    <row r="265" spans="2:17" s="46" customFormat="1" ht="15" customHeight="1">
      <c r="B265" s="47"/>
      <c r="C265" s="48"/>
      <c r="D265" s="48"/>
      <c r="E265" s="48"/>
      <c r="F265" s="48"/>
      <c r="G265" s="48"/>
      <c r="H265" s="48"/>
      <c r="I265" s="48"/>
      <c r="J265" s="48"/>
      <c r="K265" s="48"/>
      <c r="L265" s="48"/>
      <c r="M265" s="48"/>
      <c r="N265" s="48"/>
      <c r="O265" s="48"/>
      <c r="P265" s="48"/>
      <c r="Q265" s="48"/>
    </row>
    <row r="266" spans="2:17" s="46" customFormat="1" ht="15" customHeight="1">
      <c r="B266" s="47"/>
      <c r="C266" s="48"/>
      <c r="D266" s="48"/>
      <c r="E266" s="48"/>
      <c r="F266" s="48"/>
      <c r="G266" s="48"/>
      <c r="H266" s="48"/>
      <c r="I266" s="48"/>
      <c r="J266" s="48"/>
      <c r="K266" s="48"/>
      <c r="L266" s="48"/>
      <c r="M266" s="48"/>
      <c r="N266" s="48"/>
      <c r="O266" s="48"/>
      <c r="P266" s="48"/>
      <c r="Q266" s="48"/>
    </row>
    <row r="267" spans="2:17" s="46" customFormat="1" ht="15" customHeight="1">
      <c r="B267" s="47"/>
      <c r="C267" s="48"/>
      <c r="D267" s="48"/>
      <c r="E267" s="48"/>
      <c r="F267" s="48"/>
      <c r="G267" s="48"/>
      <c r="H267" s="48"/>
      <c r="I267" s="48"/>
      <c r="J267" s="48"/>
      <c r="K267" s="48"/>
      <c r="L267" s="48"/>
      <c r="M267" s="48"/>
      <c r="N267" s="48"/>
      <c r="O267" s="48"/>
      <c r="P267" s="48"/>
      <c r="Q267" s="48"/>
    </row>
    <row r="268" spans="2:17" s="46" customFormat="1" ht="15" customHeight="1">
      <c r="B268" s="47"/>
      <c r="C268" s="48"/>
      <c r="D268" s="48"/>
      <c r="E268" s="48"/>
      <c r="F268" s="48"/>
      <c r="G268" s="48"/>
      <c r="H268" s="48"/>
      <c r="I268" s="48"/>
      <c r="J268" s="48"/>
      <c r="K268" s="48"/>
      <c r="L268" s="48"/>
      <c r="M268" s="48"/>
      <c r="N268" s="48"/>
      <c r="O268" s="48"/>
      <c r="P268" s="48"/>
      <c r="Q268" s="48"/>
    </row>
    <row r="269" spans="2:17" s="46" customFormat="1" ht="15" customHeight="1">
      <c r="B269" s="47"/>
      <c r="C269" s="48"/>
      <c r="D269" s="48"/>
      <c r="E269" s="48"/>
      <c r="F269" s="48"/>
      <c r="G269" s="48"/>
      <c r="H269" s="48"/>
      <c r="I269" s="48"/>
      <c r="J269" s="48"/>
      <c r="K269" s="48"/>
      <c r="L269" s="48"/>
      <c r="M269" s="48"/>
      <c r="N269" s="48"/>
      <c r="O269" s="48"/>
      <c r="P269" s="48"/>
      <c r="Q269" s="48"/>
    </row>
    <row r="270" spans="2:17" s="46" customFormat="1" ht="15" customHeight="1">
      <c r="B270" s="47"/>
      <c r="C270" s="48"/>
      <c r="D270" s="48"/>
      <c r="E270" s="48"/>
      <c r="F270" s="48"/>
      <c r="G270" s="48"/>
      <c r="H270" s="48"/>
      <c r="I270" s="48"/>
      <c r="J270" s="48"/>
      <c r="K270" s="48"/>
      <c r="L270" s="48"/>
      <c r="M270" s="48"/>
      <c r="N270" s="48"/>
      <c r="O270" s="48"/>
      <c r="P270" s="48"/>
      <c r="Q270" s="48"/>
    </row>
    <row r="271" spans="2:17" s="46" customFormat="1" ht="15" customHeight="1">
      <c r="B271" s="47"/>
      <c r="C271" s="48"/>
      <c r="D271" s="48"/>
      <c r="E271" s="48"/>
      <c r="F271" s="48"/>
      <c r="G271" s="48"/>
      <c r="H271" s="48"/>
      <c r="I271" s="48"/>
      <c r="J271" s="48"/>
      <c r="K271" s="48"/>
      <c r="L271" s="48"/>
      <c r="M271" s="48"/>
      <c r="N271" s="48"/>
      <c r="O271" s="48"/>
      <c r="P271" s="48"/>
      <c r="Q271" s="48"/>
    </row>
    <row r="272" spans="2:17" s="46" customFormat="1" ht="15" customHeight="1">
      <c r="B272" s="47"/>
      <c r="C272" s="48"/>
      <c r="D272" s="48"/>
      <c r="E272" s="48"/>
      <c r="F272" s="48"/>
      <c r="G272" s="48"/>
      <c r="H272" s="48"/>
      <c r="I272" s="48"/>
      <c r="J272" s="48"/>
      <c r="K272" s="48"/>
      <c r="L272" s="48"/>
      <c r="M272" s="48"/>
      <c r="N272" s="48"/>
      <c r="O272" s="48"/>
      <c r="P272" s="48"/>
      <c r="Q272" s="48"/>
    </row>
    <row r="273" spans="2:17" s="46" customFormat="1" ht="15" customHeight="1">
      <c r="B273" s="47"/>
      <c r="C273" s="48"/>
      <c r="D273" s="48"/>
      <c r="E273" s="48"/>
      <c r="F273" s="48"/>
      <c r="G273" s="48"/>
      <c r="H273" s="48"/>
      <c r="I273" s="48"/>
      <c r="J273" s="48"/>
      <c r="K273" s="48"/>
      <c r="L273" s="48"/>
      <c r="M273" s="48"/>
      <c r="N273" s="48"/>
      <c r="O273" s="48"/>
      <c r="P273" s="48"/>
      <c r="Q273" s="48"/>
    </row>
    <row r="274" spans="2:17" s="46" customFormat="1" ht="15" customHeight="1">
      <c r="B274" s="47"/>
      <c r="C274" s="48"/>
      <c r="D274" s="48"/>
      <c r="E274" s="48"/>
      <c r="F274" s="48"/>
      <c r="G274" s="48"/>
      <c r="H274" s="48"/>
      <c r="I274" s="48"/>
      <c r="J274" s="48"/>
      <c r="K274" s="48"/>
      <c r="L274" s="48"/>
      <c r="M274" s="48"/>
      <c r="N274" s="48"/>
      <c r="O274" s="48"/>
      <c r="P274" s="48"/>
      <c r="Q274" s="48"/>
    </row>
    <row r="275" spans="2:17" s="46" customFormat="1" ht="15" customHeight="1">
      <c r="B275" s="47"/>
      <c r="C275" s="48"/>
      <c r="D275" s="48"/>
      <c r="E275" s="48"/>
      <c r="F275" s="48"/>
      <c r="G275" s="48"/>
      <c r="H275" s="48"/>
      <c r="I275" s="48"/>
      <c r="J275" s="48"/>
      <c r="K275" s="48"/>
      <c r="L275" s="48"/>
      <c r="M275" s="48"/>
      <c r="N275" s="48"/>
      <c r="O275" s="48"/>
      <c r="P275" s="48"/>
      <c r="Q275" s="48"/>
    </row>
    <row r="276" spans="2:17" s="46" customFormat="1" ht="15" customHeight="1">
      <c r="B276" s="47"/>
      <c r="C276" s="48"/>
      <c r="D276" s="48"/>
      <c r="E276" s="48"/>
      <c r="F276" s="48"/>
      <c r="G276" s="48"/>
      <c r="H276" s="48"/>
      <c r="I276" s="48"/>
      <c r="J276" s="48"/>
      <c r="K276" s="48"/>
      <c r="L276" s="48"/>
      <c r="M276" s="48"/>
      <c r="N276" s="48"/>
      <c r="O276" s="48"/>
      <c r="P276" s="48"/>
      <c r="Q276" s="48"/>
    </row>
    <row r="277" spans="2:17" s="46" customFormat="1" ht="15" customHeight="1">
      <c r="B277" s="47"/>
      <c r="C277" s="48"/>
      <c r="D277" s="48"/>
      <c r="E277" s="48"/>
      <c r="F277" s="48"/>
      <c r="G277" s="48"/>
      <c r="H277" s="48"/>
      <c r="I277" s="48"/>
      <c r="J277" s="48"/>
      <c r="K277" s="48"/>
      <c r="L277" s="48"/>
      <c r="M277" s="48"/>
      <c r="N277" s="48"/>
      <c r="O277" s="48"/>
      <c r="P277" s="48"/>
      <c r="Q277" s="48"/>
    </row>
    <row r="278" spans="2:17" s="46" customFormat="1" ht="15" customHeight="1">
      <c r="B278" s="47"/>
      <c r="C278" s="48"/>
      <c r="D278" s="48"/>
      <c r="E278" s="48"/>
      <c r="F278" s="48"/>
      <c r="G278" s="48"/>
      <c r="H278" s="48"/>
      <c r="I278" s="48"/>
      <c r="J278" s="48"/>
      <c r="K278" s="48"/>
      <c r="L278" s="48"/>
      <c r="M278" s="48"/>
      <c r="N278" s="48"/>
      <c r="O278" s="48"/>
      <c r="P278" s="48"/>
      <c r="Q278" s="48"/>
    </row>
    <row r="279" spans="2:17" s="46" customFormat="1" ht="15" customHeight="1">
      <c r="B279" s="47"/>
      <c r="C279" s="48"/>
      <c r="D279" s="48"/>
      <c r="E279" s="48"/>
      <c r="F279" s="48"/>
      <c r="G279" s="48"/>
      <c r="H279" s="48"/>
      <c r="I279" s="48"/>
      <c r="J279" s="48"/>
      <c r="K279" s="48"/>
      <c r="L279" s="48"/>
      <c r="M279" s="48"/>
      <c r="N279" s="48"/>
      <c r="O279" s="48"/>
      <c r="P279" s="48"/>
      <c r="Q279" s="48"/>
    </row>
    <row r="280" spans="2:17" s="46" customFormat="1" ht="15" customHeight="1">
      <c r="B280" s="47"/>
      <c r="C280" s="48"/>
      <c r="D280" s="48"/>
      <c r="E280" s="48"/>
      <c r="F280" s="48"/>
      <c r="G280" s="48"/>
      <c r="H280" s="48"/>
      <c r="I280" s="48"/>
      <c r="J280" s="48"/>
      <c r="K280" s="48"/>
      <c r="L280" s="48"/>
      <c r="M280" s="48"/>
      <c r="N280" s="48"/>
      <c r="O280" s="48"/>
      <c r="P280" s="48"/>
      <c r="Q280" s="48"/>
    </row>
    <row r="281" spans="2:17" s="46" customFormat="1" ht="15" customHeight="1">
      <c r="B281" s="47"/>
      <c r="C281" s="48"/>
      <c r="D281" s="48"/>
      <c r="E281" s="48"/>
      <c r="F281" s="48"/>
      <c r="G281" s="48"/>
      <c r="H281" s="48"/>
      <c r="I281" s="48"/>
      <c r="J281" s="48"/>
      <c r="K281" s="48"/>
      <c r="L281" s="48"/>
      <c r="M281" s="48"/>
      <c r="N281" s="48"/>
      <c r="O281" s="48"/>
      <c r="P281" s="48"/>
      <c r="Q281" s="48"/>
    </row>
    <row r="282" spans="2:17" s="46" customFormat="1" ht="15" customHeight="1">
      <c r="B282" s="47"/>
      <c r="C282" s="48"/>
      <c r="D282" s="48"/>
      <c r="E282" s="48"/>
      <c r="F282" s="48"/>
      <c r="G282" s="48"/>
      <c r="H282" s="48"/>
      <c r="I282" s="48"/>
      <c r="J282" s="48"/>
      <c r="K282" s="48"/>
      <c r="L282" s="48"/>
      <c r="M282" s="48"/>
      <c r="N282" s="48"/>
      <c r="O282" s="48"/>
      <c r="P282" s="48"/>
      <c r="Q282" s="48"/>
    </row>
    <row r="283" spans="2:17" s="46" customFormat="1" ht="15" customHeight="1">
      <c r="B283" s="47"/>
      <c r="C283" s="48"/>
      <c r="D283" s="48"/>
      <c r="E283" s="48"/>
      <c r="F283" s="48"/>
      <c r="G283" s="48"/>
      <c r="H283" s="48"/>
      <c r="I283" s="48"/>
      <c r="J283" s="48"/>
      <c r="K283" s="48"/>
      <c r="L283" s="48"/>
      <c r="M283" s="48"/>
      <c r="N283" s="48"/>
      <c r="O283" s="48"/>
      <c r="P283" s="48"/>
      <c r="Q283" s="48"/>
    </row>
    <row r="284" spans="2:17" s="46" customFormat="1" ht="15" customHeight="1">
      <c r="B284" s="47"/>
      <c r="C284" s="48"/>
      <c r="D284" s="48"/>
      <c r="E284" s="48"/>
      <c r="F284" s="48"/>
      <c r="G284" s="48"/>
      <c r="H284" s="48"/>
      <c r="I284" s="48"/>
      <c r="J284" s="48"/>
      <c r="K284" s="48"/>
      <c r="L284" s="48"/>
      <c r="M284" s="48"/>
      <c r="N284" s="48"/>
      <c r="O284" s="48"/>
      <c r="P284" s="48"/>
      <c r="Q284" s="48"/>
    </row>
    <row r="285" spans="2:17" s="46" customFormat="1" ht="15" customHeight="1">
      <c r="B285" s="47"/>
      <c r="C285" s="48"/>
      <c r="D285" s="48"/>
      <c r="E285" s="48"/>
      <c r="F285" s="48"/>
      <c r="G285" s="48"/>
      <c r="H285" s="48"/>
      <c r="I285" s="48"/>
      <c r="J285" s="48"/>
      <c r="K285" s="48"/>
      <c r="L285" s="48"/>
      <c r="M285" s="48"/>
      <c r="N285" s="48"/>
      <c r="O285" s="48"/>
      <c r="P285" s="48"/>
      <c r="Q285" s="48"/>
    </row>
    <row r="286" spans="2:17" s="46" customFormat="1" ht="15" customHeight="1">
      <c r="B286" s="47"/>
      <c r="C286" s="48"/>
      <c r="D286" s="48"/>
      <c r="E286" s="48"/>
      <c r="F286" s="48"/>
      <c r="G286" s="48"/>
      <c r="H286" s="48"/>
      <c r="I286" s="48"/>
      <c r="J286" s="48"/>
      <c r="K286" s="48"/>
      <c r="L286" s="48"/>
      <c r="M286" s="48"/>
      <c r="N286" s="48"/>
      <c r="O286" s="48"/>
      <c r="P286" s="48"/>
      <c r="Q286" s="48"/>
    </row>
    <row r="287" spans="2:17" s="46" customFormat="1" ht="15" customHeight="1">
      <c r="B287" s="47"/>
      <c r="C287" s="48"/>
      <c r="D287" s="48"/>
      <c r="E287" s="48"/>
      <c r="F287" s="48"/>
      <c r="G287" s="48"/>
      <c r="H287" s="48"/>
      <c r="I287" s="48"/>
      <c r="J287" s="48"/>
      <c r="K287" s="48"/>
      <c r="L287" s="48"/>
      <c r="M287" s="48"/>
      <c r="N287" s="48"/>
      <c r="O287" s="48"/>
      <c r="P287" s="48"/>
      <c r="Q287" s="48"/>
    </row>
    <row r="288" spans="2:17" s="46" customFormat="1" ht="15" customHeight="1">
      <c r="B288" s="47"/>
      <c r="C288" s="48"/>
      <c r="D288" s="48"/>
      <c r="E288" s="48"/>
      <c r="F288" s="48"/>
      <c r="G288" s="48"/>
      <c r="H288" s="48"/>
      <c r="I288" s="48"/>
      <c r="J288" s="48"/>
      <c r="K288" s="48"/>
      <c r="L288" s="48"/>
      <c r="M288" s="48"/>
      <c r="N288" s="48"/>
      <c r="O288" s="48"/>
      <c r="P288" s="48"/>
      <c r="Q288" s="48"/>
    </row>
    <row r="289" spans="2:17" s="46" customFormat="1" ht="15" customHeight="1">
      <c r="B289" s="47"/>
      <c r="C289" s="48"/>
      <c r="D289" s="48"/>
      <c r="E289" s="48"/>
      <c r="F289" s="48"/>
      <c r="G289" s="48"/>
      <c r="H289" s="48"/>
      <c r="I289" s="48"/>
      <c r="J289" s="48"/>
      <c r="K289" s="48"/>
      <c r="L289" s="48"/>
      <c r="M289" s="48"/>
      <c r="N289" s="48"/>
      <c r="O289" s="48"/>
      <c r="P289" s="48"/>
      <c r="Q289" s="48"/>
    </row>
    <row r="290" spans="2:17" s="46" customFormat="1" ht="15" customHeight="1">
      <c r="B290" s="47"/>
      <c r="C290" s="48"/>
      <c r="D290" s="48"/>
      <c r="E290" s="48"/>
      <c r="F290" s="48"/>
      <c r="G290" s="48"/>
      <c r="H290" s="48"/>
      <c r="I290" s="48"/>
      <c r="J290" s="48"/>
      <c r="K290" s="48"/>
      <c r="L290" s="48"/>
      <c r="M290" s="48"/>
      <c r="N290" s="48"/>
      <c r="O290" s="48"/>
      <c r="P290" s="48"/>
      <c r="Q290" s="48"/>
    </row>
    <row r="291" spans="2:17" s="46" customFormat="1" ht="15" customHeight="1">
      <c r="B291" s="47"/>
      <c r="C291" s="48"/>
      <c r="D291" s="48"/>
      <c r="E291" s="48"/>
      <c r="F291" s="48"/>
      <c r="G291" s="48"/>
      <c r="H291" s="48"/>
      <c r="I291" s="48"/>
      <c r="J291" s="48"/>
      <c r="K291" s="48"/>
      <c r="L291" s="48"/>
      <c r="M291" s="48"/>
      <c r="N291" s="48"/>
      <c r="O291" s="48"/>
      <c r="P291" s="48"/>
      <c r="Q291" s="48"/>
    </row>
    <row r="292" spans="2:17" s="46" customFormat="1" ht="15" customHeight="1">
      <c r="B292" s="47"/>
      <c r="C292" s="48"/>
      <c r="D292" s="48"/>
      <c r="E292" s="48"/>
      <c r="F292" s="48"/>
      <c r="G292" s="48"/>
      <c r="H292" s="48"/>
      <c r="I292" s="48"/>
      <c r="J292" s="48"/>
      <c r="K292" s="48"/>
      <c r="L292" s="48"/>
      <c r="M292" s="48"/>
      <c r="N292" s="48"/>
      <c r="O292" s="48"/>
      <c r="P292" s="48"/>
      <c r="Q292" s="48"/>
    </row>
    <row r="293" spans="2:17" s="46" customFormat="1" ht="15" customHeight="1">
      <c r="B293" s="47"/>
      <c r="C293" s="48"/>
      <c r="D293" s="48"/>
      <c r="E293" s="48"/>
      <c r="F293" s="48"/>
      <c r="G293" s="48"/>
      <c r="H293" s="48"/>
      <c r="I293" s="48"/>
      <c r="J293" s="48"/>
      <c r="K293" s="48"/>
      <c r="L293" s="48"/>
      <c r="M293" s="48"/>
      <c r="N293" s="48"/>
      <c r="O293" s="48"/>
      <c r="P293" s="48"/>
      <c r="Q293" s="48"/>
    </row>
    <row r="294" spans="2:17" s="46" customFormat="1" ht="15" customHeight="1">
      <c r="B294" s="47"/>
      <c r="C294" s="48"/>
      <c r="D294" s="48"/>
      <c r="E294" s="48"/>
      <c r="F294" s="48"/>
      <c r="G294" s="48"/>
      <c r="H294" s="48"/>
      <c r="I294" s="48"/>
      <c r="J294" s="48"/>
      <c r="K294" s="48"/>
      <c r="L294" s="48"/>
      <c r="M294" s="48"/>
      <c r="N294" s="48"/>
      <c r="O294" s="48"/>
      <c r="P294" s="48"/>
      <c r="Q294" s="48"/>
    </row>
    <row r="295" spans="2:17" s="46" customFormat="1" ht="15" customHeight="1">
      <c r="B295" s="47"/>
      <c r="C295" s="48"/>
      <c r="D295" s="48"/>
      <c r="E295" s="48"/>
      <c r="F295" s="48"/>
      <c r="G295" s="48"/>
      <c r="H295" s="48"/>
      <c r="I295" s="48"/>
      <c r="J295" s="48"/>
      <c r="K295" s="48"/>
      <c r="L295" s="48"/>
      <c r="M295" s="48"/>
      <c r="N295" s="48"/>
      <c r="O295" s="48"/>
      <c r="P295" s="48"/>
      <c r="Q295" s="48"/>
    </row>
    <row r="296" spans="2:17" s="46" customFormat="1" ht="15" customHeight="1">
      <c r="B296" s="47"/>
      <c r="C296" s="48"/>
      <c r="D296" s="48"/>
      <c r="E296" s="48"/>
      <c r="F296" s="48"/>
      <c r="G296" s="48"/>
      <c r="H296" s="48"/>
      <c r="I296" s="48"/>
      <c r="J296" s="48"/>
      <c r="K296" s="48"/>
      <c r="L296" s="48"/>
      <c r="M296" s="48"/>
      <c r="N296" s="48"/>
      <c r="O296" s="48"/>
      <c r="P296" s="48"/>
      <c r="Q296" s="48"/>
    </row>
    <row r="297" spans="2:17" s="46" customFormat="1" ht="15" customHeight="1">
      <c r="B297" s="47"/>
      <c r="C297" s="48"/>
      <c r="D297" s="48"/>
      <c r="E297" s="48"/>
      <c r="F297" s="48"/>
      <c r="G297" s="48"/>
      <c r="H297" s="48"/>
      <c r="I297" s="48"/>
      <c r="J297" s="48"/>
      <c r="K297" s="48"/>
      <c r="L297" s="48"/>
      <c r="M297" s="48"/>
      <c r="N297" s="48"/>
      <c r="O297" s="48"/>
      <c r="P297" s="48"/>
      <c r="Q297" s="48"/>
    </row>
    <row r="298" spans="2:17" s="46" customFormat="1" ht="15" customHeight="1">
      <c r="B298" s="47"/>
      <c r="C298" s="48"/>
      <c r="D298" s="48"/>
      <c r="E298" s="48"/>
      <c r="F298" s="48"/>
      <c r="G298" s="48"/>
      <c r="H298" s="48"/>
      <c r="I298" s="48"/>
      <c r="J298" s="48"/>
      <c r="K298" s="48"/>
      <c r="L298" s="48"/>
      <c r="M298" s="48"/>
      <c r="N298" s="48"/>
      <c r="O298" s="48"/>
      <c r="P298" s="48"/>
      <c r="Q298" s="48"/>
    </row>
    <row r="299" spans="2:17" s="46" customFormat="1" ht="15" customHeight="1">
      <c r="B299" s="47"/>
      <c r="C299" s="48"/>
      <c r="D299" s="48"/>
      <c r="E299" s="48"/>
      <c r="F299" s="48"/>
      <c r="G299" s="48"/>
      <c r="H299" s="48"/>
      <c r="I299" s="48"/>
      <c r="J299" s="48"/>
      <c r="K299" s="48"/>
      <c r="L299" s="48"/>
      <c r="M299" s="48"/>
      <c r="N299" s="48"/>
      <c r="O299" s="48"/>
      <c r="P299" s="48"/>
      <c r="Q299" s="48"/>
    </row>
    <row r="300" spans="2:17" s="46" customFormat="1" ht="15" customHeight="1">
      <c r="B300" s="47"/>
      <c r="C300" s="48"/>
      <c r="D300" s="48"/>
      <c r="E300" s="48"/>
      <c r="F300" s="48"/>
      <c r="G300" s="48"/>
      <c r="H300" s="48"/>
      <c r="I300" s="48"/>
      <c r="J300" s="48"/>
      <c r="K300" s="48"/>
      <c r="L300" s="48"/>
      <c r="M300" s="48"/>
      <c r="N300" s="48"/>
      <c r="O300" s="48"/>
      <c r="P300" s="48"/>
      <c r="Q300" s="48"/>
    </row>
    <row r="301" spans="2:17" s="46" customFormat="1" ht="15" customHeight="1">
      <c r="B301" s="47"/>
      <c r="C301" s="48"/>
      <c r="D301" s="48"/>
      <c r="E301" s="48"/>
      <c r="F301" s="48"/>
      <c r="G301" s="48"/>
      <c r="H301" s="48"/>
      <c r="I301" s="48"/>
      <c r="J301" s="48"/>
      <c r="K301" s="48"/>
      <c r="L301" s="48"/>
      <c r="M301" s="48"/>
      <c r="N301" s="48"/>
      <c r="O301" s="48"/>
      <c r="P301" s="48"/>
      <c r="Q301" s="48"/>
    </row>
    <row r="302" spans="2:17" s="46" customFormat="1" ht="15" customHeight="1">
      <c r="B302" s="47"/>
      <c r="C302" s="48"/>
      <c r="D302" s="48"/>
      <c r="E302" s="48"/>
      <c r="F302" s="48"/>
      <c r="G302" s="48"/>
      <c r="H302" s="48"/>
      <c r="I302" s="48"/>
      <c r="J302" s="48"/>
      <c r="K302" s="48"/>
      <c r="L302" s="48"/>
      <c r="M302" s="48"/>
      <c r="N302" s="48"/>
      <c r="O302" s="48"/>
      <c r="P302" s="48"/>
      <c r="Q302" s="48"/>
    </row>
    <row r="303" spans="2:17" s="46" customFormat="1" ht="15" customHeight="1">
      <c r="B303" s="47"/>
      <c r="C303" s="48"/>
      <c r="D303" s="48"/>
      <c r="E303" s="48"/>
      <c r="F303" s="48"/>
      <c r="G303" s="48"/>
      <c r="H303" s="48"/>
      <c r="I303" s="48"/>
      <c r="J303" s="48"/>
      <c r="K303" s="48"/>
      <c r="L303" s="48"/>
      <c r="M303" s="48"/>
      <c r="N303" s="48"/>
      <c r="O303" s="48"/>
      <c r="P303" s="48"/>
      <c r="Q303" s="48"/>
    </row>
    <row r="304" spans="2:17" s="46" customFormat="1" ht="15" customHeight="1">
      <c r="B304" s="47"/>
      <c r="C304" s="48"/>
      <c r="D304" s="48"/>
      <c r="E304" s="48"/>
      <c r="F304" s="48"/>
      <c r="G304" s="48"/>
      <c r="H304" s="48"/>
      <c r="I304" s="48"/>
      <c r="J304" s="48"/>
      <c r="K304" s="48"/>
      <c r="L304" s="48"/>
      <c r="M304" s="48"/>
      <c r="N304" s="48"/>
      <c r="O304" s="48"/>
      <c r="P304" s="48"/>
      <c r="Q304" s="48"/>
    </row>
    <row r="305" spans="2:17" s="46" customFormat="1" ht="15" customHeight="1">
      <c r="B305" s="47"/>
      <c r="C305" s="48"/>
      <c r="D305" s="48"/>
      <c r="E305" s="48"/>
      <c r="F305" s="48"/>
      <c r="G305" s="48"/>
      <c r="H305" s="48"/>
      <c r="I305" s="48"/>
      <c r="J305" s="48"/>
      <c r="K305" s="48"/>
      <c r="L305" s="48"/>
      <c r="M305" s="48"/>
      <c r="N305" s="48"/>
      <c r="O305" s="48"/>
      <c r="P305" s="48"/>
      <c r="Q305" s="48"/>
    </row>
    <row r="306" spans="2:17" s="46" customFormat="1" ht="15" customHeight="1">
      <c r="B306" s="47"/>
      <c r="C306" s="48"/>
      <c r="D306" s="48"/>
      <c r="E306" s="48"/>
      <c r="F306" s="48"/>
      <c r="G306" s="48"/>
      <c r="H306" s="48"/>
      <c r="I306" s="48"/>
      <c r="J306" s="48"/>
      <c r="K306" s="48"/>
      <c r="L306" s="48"/>
      <c r="M306" s="48"/>
      <c r="N306" s="48"/>
      <c r="O306" s="48"/>
      <c r="P306" s="48"/>
      <c r="Q306" s="48"/>
    </row>
    <row r="307" spans="2:17" s="46" customFormat="1" ht="15" customHeight="1">
      <c r="B307" s="47"/>
      <c r="C307" s="48"/>
      <c r="D307" s="48"/>
      <c r="E307" s="48"/>
      <c r="F307" s="48"/>
      <c r="G307" s="48"/>
      <c r="H307" s="48"/>
      <c r="I307" s="48"/>
      <c r="J307" s="48"/>
      <c r="K307" s="48"/>
      <c r="L307" s="48"/>
      <c r="M307" s="48"/>
      <c r="N307" s="48"/>
      <c r="O307" s="48"/>
      <c r="P307" s="48"/>
      <c r="Q307" s="48"/>
    </row>
    <row r="308" spans="2:17" s="46" customFormat="1" ht="15" customHeight="1">
      <c r="B308" s="47"/>
      <c r="C308" s="48"/>
      <c r="D308" s="48"/>
      <c r="E308" s="48"/>
      <c r="F308" s="48"/>
      <c r="G308" s="48"/>
      <c r="H308" s="48"/>
      <c r="I308" s="48"/>
      <c r="J308" s="48"/>
      <c r="K308" s="48"/>
      <c r="L308" s="48"/>
      <c r="M308" s="48"/>
      <c r="N308" s="48"/>
      <c r="O308" s="48"/>
      <c r="P308" s="48"/>
      <c r="Q308" s="48"/>
    </row>
    <row r="309" spans="2:17" s="46" customFormat="1" ht="15" customHeight="1">
      <c r="B309" s="47"/>
      <c r="C309" s="48"/>
      <c r="D309" s="48"/>
      <c r="E309" s="48"/>
      <c r="F309" s="48"/>
      <c r="G309" s="48"/>
      <c r="H309" s="48"/>
      <c r="I309" s="48"/>
      <c r="J309" s="48"/>
      <c r="K309" s="48"/>
      <c r="L309" s="48"/>
      <c r="M309" s="48"/>
      <c r="N309" s="48"/>
      <c r="O309" s="48"/>
      <c r="P309" s="48"/>
      <c r="Q309" s="48"/>
    </row>
    <row r="310" spans="2:17" s="46" customFormat="1" ht="15" customHeight="1">
      <c r="B310" s="47"/>
      <c r="C310" s="48"/>
      <c r="D310" s="48"/>
      <c r="E310" s="48"/>
      <c r="F310" s="48"/>
      <c r="G310" s="48"/>
      <c r="H310" s="48"/>
      <c r="I310" s="48"/>
      <c r="J310" s="48"/>
      <c r="K310" s="48"/>
      <c r="L310" s="48"/>
      <c r="M310" s="48"/>
      <c r="N310" s="48"/>
      <c r="O310" s="48"/>
      <c r="P310" s="48"/>
      <c r="Q310" s="48"/>
    </row>
    <row r="311" spans="2:17" s="46" customFormat="1" ht="15" customHeight="1">
      <c r="B311" s="47"/>
      <c r="C311" s="48"/>
      <c r="D311" s="48"/>
      <c r="E311" s="48"/>
      <c r="F311" s="48"/>
      <c r="G311" s="48"/>
      <c r="H311" s="48"/>
      <c r="I311" s="48"/>
      <c r="J311" s="48"/>
      <c r="K311" s="48"/>
      <c r="L311" s="48"/>
      <c r="M311" s="48"/>
      <c r="N311" s="48"/>
      <c r="O311" s="48"/>
      <c r="P311" s="48"/>
      <c r="Q311" s="48"/>
    </row>
    <row r="312" spans="2:17" s="46" customFormat="1" ht="15" customHeight="1">
      <c r="B312" s="47"/>
      <c r="C312" s="48"/>
      <c r="D312" s="48"/>
      <c r="E312" s="48"/>
      <c r="F312" s="48"/>
      <c r="G312" s="48"/>
      <c r="H312" s="48"/>
      <c r="I312" s="48"/>
      <c r="J312" s="48"/>
      <c r="K312" s="48"/>
      <c r="L312" s="48"/>
      <c r="M312" s="48"/>
      <c r="N312" s="48"/>
      <c r="O312" s="48"/>
      <c r="P312" s="48"/>
      <c r="Q312" s="48"/>
    </row>
    <row r="313" spans="2:17" s="46" customFormat="1" ht="15" customHeight="1">
      <c r="B313" s="47"/>
      <c r="C313" s="48"/>
      <c r="D313" s="48"/>
      <c r="E313" s="48"/>
      <c r="F313" s="48"/>
      <c r="G313" s="48"/>
      <c r="H313" s="48"/>
      <c r="I313" s="48"/>
      <c r="J313" s="48"/>
      <c r="K313" s="48"/>
      <c r="L313" s="48"/>
      <c r="M313" s="48"/>
      <c r="N313" s="48"/>
      <c r="O313" s="48"/>
      <c r="P313" s="48"/>
      <c r="Q313" s="48"/>
    </row>
    <row r="314" spans="2:17" s="46" customFormat="1" ht="15" customHeight="1">
      <c r="B314" s="47"/>
      <c r="C314" s="48"/>
      <c r="D314" s="48"/>
      <c r="E314" s="48"/>
      <c r="F314" s="48"/>
      <c r="G314" s="48"/>
      <c r="H314" s="48"/>
      <c r="I314" s="48"/>
      <c r="J314" s="48"/>
      <c r="K314" s="48"/>
      <c r="L314" s="48"/>
      <c r="M314" s="48"/>
      <c r="N314" s="48"/>
      <c r="O314" s="48"/>
      <c r="P314" s="48"/>
      <c r="Q314" s="48"/>
    </row>
    <row r="315" spans="2:17" s="46" customFormat="1" ht="15" customHeight="1">
      <c r="B315" s="47"/>
      <c r="C315" s="48"/>
      <c r="D315" s="48"/>
      <c r="E315" s="48"/>
      <c r="F315" s="48"/>
      <c r="G315" s="48"/>
      <c r="H315" s="48"/>
      <c r="I315" s="48"/>
      <c r="J315" s="48"/>
      <c r="K315" s="48"/>
      <c r="L315" s="48"/>
      <c r="M315" s="48"/>
      <c r="N315" s="48"/>
      <c r="O315" s="48"/>
      <c r="P315" s="48"/>
      <c r="Q315" s="48"/>
    </row>
    <row r="316" spans="2:17" s="46" customFormat="1" ht="15" customHeight="1">
      <c r="B316" s="47"/>
      <c r="C316" s="48"/>
      <c r="D316" s="48"/>
      <c r="E316" s="48"/>
      <c r="F316" s="48"/>
      <c r="G316" s="48"/>
      <c r="H316" s="48"/>
      <c r="I316" s="48"/>
      <c r="J316" s="48"/>
      <c r="K316" s="48"/>
      <c r="L316" s="48"/>
      <c r="M316" s="48"/>
      <c r="N316" s="48"/>
      <c r="O316" s="48"/>
      <c r="P316" s="48"/>
      <c r="Q316" s="48"/>
    </row>
    <row r="317" spans="2:17" s="46" customFormat="1" ht="15" customHeight="1">
      <c r="B317" s="47"/>
      <c r="C317" s="48"/>
      <c r="D317" s="48"/>
      <c r="E317" s="48"/>
      <c r="F317" s="48"/>
      <c r="G317" s="48"/>
      <c r="H317" s="48"/>
      <c r="I317" s="48"/>
      <c r="J317" s="48"/>
      <c r="K317" s="48"/>
      <c r="L317" s="48"/>
      <c r="M317" s="48"/>
      <c r="N317" s="48"/>
      <c r="O317" s="48"/>
      <c r="P317" s="48"/>
      <c r="Q317" s="48"/>
    </row>
    <row r="318" spans="2:17" s="46" customFormat="1" ht="15" customHeight="1">
      <c r="B318" s="47"/>
      <c r="C318" s="48"/>
      <c r="D318" s="48"/>
      <c r="E318" s="48"/>
      <c r="F318" s="48"/>
      <c r="G318" s="48"/>
      <c r="H318" s="48"/>
      <c r="I318" s="48"/>
      <c r="J318" s="48"/>
      <c r="K318" s="48"/>
      <c r="L318" s="48"/>
      <c r="M318" s="48"/>
      <c r="N318" s="48"/>
      <c r="O318" s="48"/>
      <c r="P318" s="48"/>
      <c r="Q318" s="48"/>
    </row>
    <row r="319" spans="2:17" s="46" customFormat="1" ht="15" customHeight="1">
      <c r="B319" s="47"/>
      <c r="C319" s="48"/>
      <c r="D319" s="48"/>
      <c r="E319" s="48"/>
      <c r="F319" s="48"/>
      <c r="G319" s="48"/>
      <c r="H319" s="48"/>
      <c r="I319" s="48"/>
      <c r="J319" s="48"/>
      <c r="K319" s="48"/>
      <c r="L319" s="48"/>
      <c r="M319" s="48"/>
      <c r="N319" s="48"/>
      <c r="O319" s="48"/>
      <c r="P319" s="48"/>
      <c r="Q319" s="48"/>
    </row>
    <row r="320" spans="2:17" s="46" customFormat="1" ht="15" customHeight="1">
      <c r="B320" s="47"/>
      <c r="C320" s="48"/>
      <c r="D320" s="48"/>
      <c r="E320" s="48"/>
      <c r="F320" s="48"/>
      <c r="G320" s="48"/>
      <c r="H320" s="48"/>
      <c r="I320" s="48"/>
      <c r="J320" s="48"/>
      <c r="K320" s="48"/>
      <c r="L320" s="48"/>
      <c r="M320" s="48"/>
      <c r="N320" s="48"/>
      <c r="O320" s="48"/>
      <c r="P320" s="48"/>
      <c r="Q320" s="48"/>
    </row>
    <row r="321" spans="2:17" s="46" customFormat="1" ht="15" customHeight="1">
      <c r="B321" s="47"/>
      <c r="C321" s="48"/>
      <c r="D321" s="48"/>
      <c r="E321" s="48"/>
      <c r="F321" s="48"/>
      <c r="G321" s="48"/>
      <c r="H321" s="48"/>
      <c r="I321" s="48"/>
      <c r="J321" s="48"/>
      <c r="K321" s="48"/>
      <c r="L321" s="48"/>
      <c r="M321" s="48"/>
      <c r="N321" s="48"/>
      <c r="O321" s="48"/>
      <c r="P321" s="48"/>
      <c r="Q321" s="48"/>
    </row>
    <row r="322" spans="2:17" s="46" customFormat="1" ht="15" customHeight="1">
      <c r="B322" s="47"/>
      <c r="C322" s="48"/>
      <c r="D322" s="48"/>
      <c r="E322" s="48"/>
      <c r="F322" s="48"/>
      <c r="G322" s="48"/>
      <c r="H322" s="48"/>
      <c r="I322" s="48"/>
      <c r="J322" s="48"/>
      <c r="K322" s="48"/>
      <c r="L322" s="48"/>
      <c r="M322" s="48"/>
      <c r="N322" s="48"/>
      <c r="O322" s="48"/>
      <c r="P322" s="48"/>
      <c r="Q322" s="48"/>
    </row>
    <row r="323" spans="2:17" s="46" customFormat="1" ht="15" customHeight="1">
      <c r="B323" s="47"/>
      <c r="C323" s="48"/>
      <c r="D323" s="48"/>
      <c r="E323" s="48"/>
      <c r="F323" s="48"/>
      <c r="G323" s="48"/>
      <c r="H323" s="48"/>
      <c r="I323" s="48"/>
      <c r="J323" s="48"/>
      <c r="K323" s="48"/>
      <c r="L323" s="48"/>
      <c r="M323" s="48"/>
      <c r="N323" s="48"/>
      <c r="O323" s="48"/>
      <c r="P323" s="48"/>
      <c r="Q323" s="48"/>
    </row>
    <row r="324" spans="2:17" s="46" customFormat="1" ht="15" customHeight="1">
      <c r="B324" s="47"/>
      <c r="C324" s="48"/>
      <c r="D324" s="48"/>
      <c r="E324" s="48"/>
      <c r="F324" s="48"/>
      <c r="G324" s="48"/>
      <c r="H324" s="48"/>
      <c r="I324" s="48"/>
      <c r="J324" s="48"/>
      <c r="K324" s="48"/>
      <c r="L324" s="48"/>
      <c r="M324" s="48"/>
      <c r="N324" s="48"/>
      <c r="O324" s="48"/>
      <c r="P324" s="48"/>
      <c r="Q324" s="48"/>
    </row>
    <row r="325" spans="2:17" s="46" customFormat="1" ht="15" customHeight="1">
      <c r="B325" s="47"/>
      <c r="C325" s="48"/>
      <c r="D325" s="48"/>
      <c r="E325" s="48"/>
      <c r="F325" s="48"/>
      <c r="G325" s="48"/>
      <c r="H325" s="48"/>
      <c r="I325" s="48"/>
      <c r="J325" s="48"/>
      <c r="K325" s="48"/>
      <c r="L325" s="48"/>
      <c r="M325" s="48"/>
      <c r="N325" s="48"/>
      <c r="O325" s="48"/>
      <c r="P325" s="48"/>
      <c r="Q325" s="48"/>
    </row>
    <row r="326" spans="2:17" s="46" customFormat="1" ht="15" customHeight="1">
      <c r="B326" s="47"/>
      <c r="C326" s="48"/>
      <c r="D326" s="48"/>
      <c r="E326" s="48"/>
      <c r="F326" s="48"/>
      <c r="G326" s="48"/>
      <c r="H326" s="48"/>
      <c r="I326" s="48"/>
      <c r="J326" s="48"/>
      <c r="K326" s="48"/>
      <c r="L326" s="48"/>
      <c r="M326" s="48"/>
      <c r="N326" s="48"/>
      <c r="O326" s="48"/>
      <c r="P326" s="48"/>
      <c r="Q326" s="48"/>
    </row>
    <row r="327" spans="2:17" s="46" customFormat="1" ht="15" customHeight="1">
      <c r="B327" s="47"/>
      <c r="C327" s="48"/>
      <c r="D327" s="48"/>
      <c r="E327" s="48"/>
      <c r="F327" s="48"/>
      <c r="G327" s="48"/>
      <c r="H327" s="48"/>
      <c r="I327" s="48"/>
      <c r="J327" s="48"/>
      <c r="K327" s="48"/>
      <c r="L327" s="48"/>
      <c r="M327" s="48"/>
      <c r="N327" s="48"/>
      <c r="O327" s="48"/>
      <c r="P327" s="48"/>
      <c r="Q327" s="48"/>
    </row>
    <row r="328" spans="2:17" s="46" customFormat="1" ht="15" customHeight="1">
      <c r="B328" s="47"/>
      <c r="C328" s="48"/>
      <c r="D328" s="48"/>
      <c r="E328" s="48"/>
      <c r="F328" s="48"/>
      <c r="G328" s="48"/>
      <c r="H328" s="48"/>
      <c r="I328" s="48"/>
      <c r="J328" s="48"/>
      <c r="K328" s="48"/>
      <c r="L328" s="48"/>
      <c r="M328" s="48"/>
      <c r="N328" s="48"/>
      <c r="O328" s="48"/>
      <c r="P328" s="48"/>
      <c r="Q328" s="48"/>
    </row>
    <row r="329" spans="2:17" s="46" customFormat="1" ht="15" customHeight="1">
      <c r="B329" s="47"/>
      <c r="C329" s="48"/>
      <c r="D329" s="48"/>
      <c r="E329" s="48"/>
      <c r="F329" s="48"/>
      <c r="G329" s="48"/>
      <c r="H329" s="48"/>
      <c r="I329" s="48"/>
      <c r="J329" s="48"/>
      <c r="K329" s="48"/>
      <c r="L329" s="48"/>
      <c r="M329" s="48"/>
      <c r="N329" s="48"/>
      <c r="O329" s="48"/>
      <c r="P329" s="48"/>
      <c r="Q329" s="48"/>
    </row>
    <row r="330" spans="2:17" s="46" customFormat="1" ht="15" customHeight="1">
      <c r="B330" s="47"/>
      <c r="C330" s="48"/>
      <c r="D330" s="48"/>
      <c r="E330" s="48"/>
      <c r="F330" s="48"/>
      <c r="G330" s="48"/>
      <c r="H330" s="48"/>
      <c r="I330" s="48"/>
      <c r="J330" s="48"/>
      <c r="K330" s="48"/>
      <c r="L330" s="48"/>
      <c r="M330" s="48"/>
      <c r="N330" s="48"/>
      <c r="O330" s="48"/>
      <c r="P330" s="48"/>
      <c r="Q330" s="48"/>
    </row>
    <row r="331" spans="2:17" s="46" customFormat="1" ht="15" customHeight="1">
      <c r="B331" s="47"/>
      <c r="C331" s="48"/>
      <c r="D331" s="48"/>
      <c r="E331" s="48"/>
      <c r="F331" s="48"/>
      <c r="G331" s="48"/>
      <c r="H331" s="48"/>
      <c r="I331" s="48"/>
      <c r="J331" s="48"/>
      <c r="K331" s="48"/>
      <c r="L331" s="48"/>
      <c r="M331" s="48"/>
      <c r="N331" s="48"/>
      <c r="O331" s="48"/>
      <c r="P331" s="48"/>
      <c r="Q331" s="48"/>
    </row>
    <row r="332" spans="2:17" s="46" customFormat="1" ht="15" customHeight="1">
      <c r="B332" s="47"/>
      <c r="C332" s="48"/>
      <c r="D332" s="48"/>
      <c r="E332" s="48"/>
      <c r="F332" s="48"/>
      <c r="G332" s="48"/>
      <c r="H332" s="48"/>
      <c r="I332" s="48"/>
      <c r="J332" s="48"/>
      <c r="K332" s="48"/>
      <c r="L332" s="48"/>
      <c r="M332" s="48"/>
      <c r="N332" s="48"/>
      <c r="O332" s="48"/>
      <c r="P332" s="48"/>
      <c r="Q332" s="48"/>
    </row>
    <row r="333" spans="2:17" s="46" customFormat="1" ht="15" customHeight="1">
      <c r="B333" s="47"/>
      <c r="C333" s="48"/>
      <c r="D333" s="48"/>
      <c r="E333" s="48"/>
      <c r="F333" s="48"/>
      <c r="G333" s="48"/>
      <c r="H333" s="48"/>
      <c r="I333" s="48"/>
      <c r="J333" s="48"/>
      <c r="K333" s="48"/>
      <c r="L333" s="48"/>
      <c r="M333" s="48"/>
      <c r="N333" s="48"/>
      <c r="O333" s="48"/>
      <c r="P333" s="48"/>
      <c r="Q333" s="48"/>
    </row>
    <row r="334" spans="2:17" s="46" customFormat="1" ht="15" customHeight="1">
      <c r="B334" s="47"/>
      <c r="C334" s="48"/>
      <c r="D334" s="48"/>
      <c r="E334" s="48"/>
      <c r="F334" s="48"/>
      <c r="G334" s="48"/>
      <c r="H334" s="48"/>
      <c r="I334" s="48"/>
      <c r="J334" s="48"/>
      <c r="K334" s="48"/>
      <c r="L334" s="48"/>
      <c r="M334" s="48"/>
      <c r="N334" s="48"/>
      <c r="O334" s="48"/>
      <c r="P334" s="48"/>
      <c r="Q334" s="48"/>
    </row>
    <row r="335" spans="2:17" s="46" customFormat="1" ht="15" customHeight="1">
      <c r="B335" s="47"/>
      <c r="C335" s="48"/>
      <c r="D335" s="48"/>
      <c r="E335" s="48"/>
      <c r="F335" s="48"/>
      <c r="G335" s="48"/>
      <c r="H335" s="48"/>
      <c r="I335" s="48"/>
      <c r="J335" s="48"/>
      <c r="K335" s="48"/>
      <c r="L335" s="48"/>
      <c r="M335" s="48"/>
      <c r="N335" s="48"/>
      <c r="O335" s="48"/>
      <c r="P335" s="48"/>
      <c r="Q335" s="48"/>
    </row>
    <row r="336" spans="2:17" s="46" customFormat="1" ht="15" customHeight="1">
      <c r="B336" s="47"/>
      <c r="C336" s="48"/>
      <c r="D336" s="48"/>
      <c r="E336" s="48"/>
      <c r="F336" s="48"/>
      <c r="G336" s="48"/>
      <c r="H336" s="48"/>
      <c r="I336" s="48"/>
      <c r="J336" s="48"/>
      <c r="K336" s="48"/>
      <c r="L336" s="48"/>
      <c r="M336" s="48"/>
      <c r="N336" s="48"/>
      <c r="O336" s="48"/>
      <c r="P336" s="48"/>
      <c r="Q336" s="48"/>
    </row>
    <row r="337" spans="2:17" s="46" customFormat="1" ht="15" customHeight="1">
      <c r="B337" s="47"/>
      <c r="C337" s="48"/>
      <c r="D337" s="48"/>
      <c r="E337" s="48"/>
      <c r="F337" s="48"/>
      <c r="G337" s="48"/>
      <c r="H337" s="48"/>
      <c r="I337" s="48"/>
      <c r="J337" s="48"/>
      <c r="K337" s="48"/>
      <c r="L337" s="48"/>
      <c r="M337" s="48"/>
      <c r="N337" s="48"/>
      <c r="O337" s="48"/>
      <c r="P337" s="48"/>
      <c r="Q337" s="48"/>
    </row>
    <row r="338" spans="2:17" s="46" customFormat="1" ht="15" customHeight="1">
      <c r="B338" s="47"/>
      <c r="C338" s="48"/>
      <c r="D338" s="48"/>
      <c r="E338" s="48"/>
      <c r="F338" s="48"/>
      <c r="G338" s="48"/>
      <c r="H338" s="48"/>
      <c r="I338" s="48"/>
      <c r="J338" s="48"/>
      <c r="K338" s="48"/>
      <c r="L338" s="48"/>
      <c r="M338" s="48"/>
      <c r="N338" s="48"/>
      <c r="O338" s="48"/>
      <c r="P338" s="48"/>
      <c r="Q338" s="48"/>
    </row>
    <row r="339" spans="2:17" s="46" customFormat="1" ht="15" customHeight="1">
      <c r="B339" s="47"/>
      <c r="C339" s="48"/>
      <c r="D339" s="48"/>
      <c r="E339" s="48"/>
      <c r="F339" s="48"/>
      <c r="G339" s="48"/>
      <c r="H339" s="48"/>
      <c r="I339" s="48"/>
      <c r="J339" s="48"/>
      <c r="K339" s="48"/>
      <c r="L339" s="48"/>
      <c r="M339" s="48"/>
      <c r="N339" s="48"/>
      <c r="O339" s="48"/>
      <c r="P339" s="48"/>
      <c r="Q339" s="48"/>
    </row>
    <row r="340" spans="2:17" s="46" customFormat="1" ht="15" customHeight="1">
      <c r="B340" s="47"/>
      <c r="C340" s="48"/>
      <c r="D340" s="48"/>
      <c r="E340" s="48"/>
      <c r="F340" s="48"/>
      <c r="G340" s="48"/>
      <c r="H340" s="48"/>
      <c r="I340" s="48"/>
      <c r="J340" s="48"/>
      <c r="K340" s="48"/>
      <c r="L340" s="48"/>
      <c r="M340" s="48"/>
      <c r="N340" s="48"/>
      <c r="O340" s="48"/>
      <c r="P340" s="48"/>
      <c r="Q340" s="48"/>
    </row>
    <row r="341" spans="2:17" s="46" customFormat="1" ht="15" customHeight="1">
      <c r="B341" s="47"/>
      <c r="C341" s="48"/>
      <c r="D341" s="48"/>
      <c r="E341" s="48"/>
      <c r="F341" s="48"/>
      <c r="G341" s="48"/>
      <c r="H341" s="48"/>
      <c r="I341" s="48"/>
      <c r="J341" s="48"/>
      <c r="K341" s="48"/>
      <c r="L341" s="48"/>
      <c r="M341" s="48"/>
      <c r="N341" s="48"/>
      <c r="O341" s="48"/>
      <c r="P341" s="48"/>
      <c r="Q341" s="48"/>
    </row>
    <row r="342" spans="2:17" s="46" customFormat="1" ht="15" customHeight="1">
      <c r="B342" s="47"/>
      <c r="C342" s="48"/>
      <c r="D342" s="48"/>
      <c r="E342" s="48"/>
      <c r="F342" s="48"/>
      <c r="G342" s="48"/>
      <c r="H342" s="48"/>
      <c r="I342" s="48"/>
      <c r="J342" s="48"/>
      <c r="K342" s="48"/>
      <c r="L342" s="48"/>
      <c r="M342" s="48"/>
      <c r="N342" s="48"/>
      <c r="O342" s="48"/>
      <c r="P342" s="48"/>
      <c r="Q342" s="48"/>
    </row>
    <row r="343" spans="2:17" s="46" customFormat="1" ht="15" customHeight="1">
      <c r="B343" s="47"/>
      <c r="C343" s="48"/>
      <c r="D343" s="48"/>
      <c r="E343" s="48"/>
      <c r="F343" s="48"/>
      <c r="G343" s="48"/>
      <c r="H343" s="48"/>
      <c r="I343" s="48"/>
      <c r="J343" s="48"/>
      <c r="K343" s="48"/>
      <c r="L343" s="48"/>
      <c r="M343" s="48"/>
      <c r="N343" s="48"/>
      <c r="O343" s="48"/>
      <c r="P343" s="48"/>
      <c r="Q343" s="48"/>
    </row>
    <row r="344" spans="2:17" s="46" customFormat="1" ht="15" customHeight="1">
      <c r="B344" s="47"/>
      <c r="C344" s="48"/>
      <c r="D344" s="48"/>
      <c r="E344" s="48"/>
      <c r="F344" s="48"/>
      <c r="G344" s="48"/>
      <c r="H344" s="48"/>
      <c r="I344" s="48"/>
      <c r="J344" s="48"/>
      <c r="K344" s="48"/>
      <c r="L344" s="48"/>
      <c r="M344" s="48"/>
      <c r="N344" s="48"/>
      <c r="O344" s="48"/>
      <c r="P344" s="48"/>
      <c r="Q344" s="48"/>
    </row>
    <row r="345" spans="2:17" s="46" customFormat="1" ht="15" customHeight="1">
      <c r="B345" s="47"/>
      <c r="C345" s="48"/>
      <c r="D345" s="48"/>
      <c r="E345" s="48"/>
      <c r="F345" s="48"/>
      <c r="G345" s="48"/>
      <c r="H345" s="48"/>
      <c r="I345" s="48"/>
      <c r="J345" s="48"/>
      <c r="K345" s="48"/>
      <c r="L345" s="48"/>
      <c r="M345" s="48"/>
      <c r="N345" s="48"/>
      <c r="O345" s="48"/>
      <c r="P345" s="48"/>
      <c r="Q345" s="48"/>
    </row>
    <row r="346" spans="2:17" s="46" customFormat="1" ht="15" customHeight="1">
      <c r="B346" s="47"/>
      <c r="C346" s="48"/>
      <c r="D346" s="48"/>
      <c r="E346" s="48"/>
      <c r="F346" s="48"/>
      <c r="G346" s="48"/>
      <c r="H346" s="48"/>
      <c r="I346" s="48"/>
      <c r="J346" s="48"/>
      <c r="K346" s="48"/>
      <c r="L346" s="48"/>
      <c r="M346" s="48"/>
      <c r="N346" s="48"/>
      <c r="O346" s="48"/>
      <c r="P346" s="48"/>
      <c r="Q346" s="48"/>
    </row>
    <row r="347" spans="2:17" s="46" customFormat="1" ht="15" customHeight="1">
      <c r="B347" s="47"/>
      <c r="C347" s="48"/>
      <c r="D347" s="48"/>
      <c r="E347" s="48"/>
      <c r="F347" s="48"/>
      <c r="G347" s="48"/>
      <c r="H347" s="48"/>
      <c r="I347" s="48"/>
      <c r="J347" s="48"/>
      <c r="K347" s="48"/>
      <c r="L347" s="48"/>
      <c r="M347" s="48"/>
      <c r="N347" s="48"/>
      <c r="O347" s="48"/>
      <c r="P347" s="48"/>
      <c r="Q347" s="48"/>
    </row>
    <row r="348" spans="2:17" s="46" customFormat="1" ht="15" customHeight="1">
      <c r="B348" s="47"/>
      <c r="C348" s="48"/>
      <c r="D348" s="48"/>
      <c r="E348" s="48"/>
      <c r="F348" s="48"/>
      <c r="G348" s="48"/>
      <c r="H348" s="48"/>
      <c r="I348" s="48"/>
      <c r="J348" s="48"/>
      <c r="K348" s="48"/>
      <c r="L348" s="48"/>
      <c r="M348" s="48"/>
      <c r="N348" s="48"/>
      <c r="O348" s="48"/>
      <c r="P348" s="48"/>
      <c r="Q348" s="48"/>
    </row>
    <row r="349" spans="2:17" s="46" customFormat="1" ht="15" customHeight="1">
      <c r="B349" s="47"/>
      <c r="C349" s="48"/>
      <c r="D349" s="48"/>
      <c r="E349" s="48"/>
      <c r="F349" s="48"/>
      <c r="G349" s="48"/>
      <c r="H349" s="48"/>
      <c r="I349" s="48"/>
      <c r="J349" s="48"/>
      <c r="K349" s="48"/>
      <c r="L349" s="48"/>
      <c r="M349" s="48"/>
      <c r="N349" s="48"/>
      <c r="O349" s="48"/>
      <c r="P349" s="48"/>
      <c r="Q349" s="48"/>
    </row>
    <row r="350" spans="2:17" s="46" customFormat="1" ht="15" customHeight="1">
      <c r="B350" s="47"/>
      <c r="C350" s="48"/>
      <c r="D350" s="48"/>
      <c r="E350" s="48"/>
      <c r="F350" s="48"/>
      <c r="G350" s="48"/>
      <c r="H350" s="48"/>
      <c r="I350" s="48"/>
      <c r="J350" s="48"/>
      <c r="K350" s="48"/>
      <c r="L350" s="48"/>
      <c r="M350" s="48"/>
      <c r="N350" s="48"/>
      <c r="O350" s="48"/>
      <c r="P350" s="48"/>
      <c r="Q350" s="48"/>
    </row>
    <row r="351" spans="2:17" s="46" customFormat="1" ht="15" customHeight="1">
      <c r="B351" s="47"/>
      <c r="C351" s="48"/>
      <c r="D351" s="48"/>
      <c r="E351" s="48"/>
      <c r="F351" s="48"/>
      <c r="G351" s="48"/>
      <c r="H351" s="48"/>
      <c r="I351" s="48"/>
      <c r="J351" s="48"/>
      <c r="K351" s="48"/>
      <c r="L351" s="48"/>
      <c r="M351" s="48"/>
      <c r="N351" s="48"/>
      <c r="O351" s="48"/>
      <c r="P351" s="48"/>
      <c r="Q351" s="48"/>
    </row>
    <row r="352" spans="2:17" s="46" customFormat="1" ht="15" customHeight="1">
      <c r="B352" s="47"/>
      <c r="C352" s="48"/>
      <c r="D352" s="48"/>
      <c r="E352" s="48"/>
      <c r="F352" s="48"/>
      <c r="G352" s="48"/>
      <c r="H352" s="48"/>
      <c r="I352" s="48"/>
      <c r="J352" s="48"/>
      <c r="K352" s="48"/>
      <c r="L352" s="48"/>
      <c r="M352" s="48"/>
      <c r="N352" s="48"/>
      <c r="O352" s="48"/>
      <c r="P352" s="48"/>
      <c r="Q352" s="48"/>
    </row>
    <row r="353" spans="2:17" s="46" customFormat="1" ht="15" customHeight="1">
      <c r="B353" s="47"/>
      <c r="C353" s="48"/>
      <c r="D353" s="48"/>
      <c r="E353" s="48"/>
      <c r="F353" s="48"/>
      <c r="G353" s="48"/>
      <c r="H353" s="48"/>
      <c r="I353" s="48"/>
      <c r="J353" s="48"/>
      <c r="K353" s="48"/>
      <c r="L353" s="48"/>
      <c r="M353" s="48"/>
      <c r="N353" s="48"/>
      <c r="O353" s="48"/>
      <c r="P353" s="48"/>
      <c r="Q353" s="48"/>
    </row>
    <row r="354" spans="2:17" s="46" customFormat="1" ht="15" customHeight="1">
      <c r="B354" s="47"/>
      <c r="C354" s="48"/>
      <c r="D354" s="48"/>
      <c r="E354" s="48"/>
      <c r="F354" s="48"/>
      <c r="G354" s="48"/>
      <c r="H354" s="48"/>
      <c r="I354" s="48"/>
      <c r="J354" s="48"/>
      <c r="K354" s="48"/>
      <c r="L354" s="48"/>
      <c r="M354" s="48"/>
      <c r="N354" s="48"/>
      <c r="O354" s="48"/>
      <c r="P354" s="48"/>
      <c r="Q354" s="48"/>
    </row>
    <row r="355" spans="2:17" s="46" customFormat="1" ht="15" customHeight="1">
      <c r="B355" s="47"/>
      <c r="C355" s="48"/>
      <c r="D355" s="48"/>
      <c r="E355" s="48"/>
      <c r="F355" s="48"/>
      <c r="G355" s="48"/>
      <c r="H355" s="48"/>
      <c r="I355" s="48"/>
      <c r="J355" s="48"/>
      <c r="K355" s="48"/>
      <c r="L355" s="48"/>
      <c r="M355" s="48"/>
      <c r="N355" s="48"/>
      <c r="O355" s="48"/>
      <c r="P355" s="48"/>
      <c r="Q355" s="48"/>
    </row>
    <row r="356" spans="2:17" s="46" customFormat="1" ht="15" customHeight="1">
      <c r="B356" s="47"/>
      <c r="C356" s="48"/>
      <c r="D356" s="48"/>
      <c r="E356" s="48"/>
      <c r="F356" s="48"/>
      <c r="G356" s="48"/>
      <c r="H356" s="48"/>
      <c r="I356" s="48"/>
      <c r="J356" s="48"/>
      <c r="K356" s="48"/>
      <c r="L356" s="48"/>
      <c r="M356" s="48"/>
      <c r="N356" s="48"/>
      <c r="O356" s="48"/>
      <c r="P356" s="48"/>
      <c r="Q356" s="48"/>
    </row>
    <row r="357" spans="2:17" s="46" customFormat="1" ht="15" customHeight="1">
      <c r="B357" s="47"/>
      <c r="C357" s="48"/>
      <c r="D357" s="48"/>
      <c r="E357" s="48"/>
      <c r="F357" s="48"/>
      <c r="G357" s="48"/>
      <c r="H357" s="48"/>
      <c r="I357" s="48"/>
      <c r="J357" s="48"/>
      <c r="K357" s="48"/>
      <c r="L357" s="48"/>
      <c r="M357" s="48"/>
      <c r="N357" s="48"/>
      <c r="O357" s="48"/>
      <c r="P357" s="48"/>
      <c r="Q357" s="48"/>
    </row>
    <row r="358" spans="2:17" s="46" customFormat="1" ht="15" customHeight="1">
      <c r="B358" s="47"/>
      <c r="C358" s="48"/>
      <c r="D358" s="48"/>
      <c r="E358" s="48"/>
      <c r="F358" s="48"/>
      <c r="G358" s="48"/>
      <c r="H358" s="48"/>
      <c r="I358" s="48"/>
      <c r="J358" s="48"/>
      <c r="K358" s="48"/>
      <c r="L358" s="48"/>
      <c r="M358" s="48"/>
      <c r="N358" s="48"/>
      <c r="O358" s="48"/>
      <c r="P358" s="48"/>
      <c r="Q358" s="48"/>
    </row>
    <row r="359" spans="2:17" s="46" customFormat="1" ht="15" customHeight="1">
      <c r="B359" s="47"/>
      <c r="C359" s="48"/>
      <c r="D359" s="48"/>
      <c r="E359" s="48"/>
      <c r="F359" s="48"/>
      <c r="G359" s="48"/>
      <c r="H359" s="48"/>
      <c r="I359" s="48"/>
      <c r="J359" s="48"/>
      <c r="K359" s="48"/>
      <c r="L359" s="48"/>
      <c r="M359" s="48"/>
      <c r="N359" s="48"/>
      <c r="O359" s="48"/>
      <c r="P359" s="48"/>
      <c r="Q359" s="48"/>
    </row>
    <row r="360" spans="2:17" s="46" customFormat="1" ht="15" customHeight="1">
      <c r="B360" s="47"/>
      <c r="C360" s="48"/>
      <c r="D360" s="48"/>
      <c r="E360" s="48"/>
      <c r="F360" s="48"/>
      <c r="G360" s="48"/>
      <c r="H360" s="48"/>
      <c r="I360" s="48"/>
      <c r="J360" s="48"/>
      <c r="K360" s="48"/>
      <c r="L360" s="48"/>
      <c r="M360" s="48"/>
      <c r="N360" s="48"/>
      <c r="O360" s="48"/>
      <c r="P360" s="48"/>
      <c r="Q360" s="48"/>
    </row>
    <row r="361" spans="2:17" s="46" customFormat="1" ht="15" customHeight="1">
      <c r="B361" s="47"/>
      <c r="C361" s="48"/>
      <c r="D361" s="48"/>
      <c r="E361" s="48"/>
      <c r="F361" s="48"/>
      <c r="G361" s="48"/>
      <c r="H361" s="48"/>
      <c r="I361" s="48"/>
      <c r="J361" s="48"/>
      <c r="K361" s="48"/>
      <c r="L361" s="48"/>
      <c r="M361" s="48"/>
      <c r="N361" s="48"/>
      <c r="O361" s="48"/>
      <c r="P361" s="48"/>
      <c r="Q361" s="48"/>
    </row>
    <row r="362" spans="2:17" s="46" customFormat="1" ht="15" customHeight="1">
      <c r="B362" s="47"/>
      <c r="C362" s="48"/>
      <c r="D362" s="48"/>
      <c r="E362" s="48"/>
      <c r="F362" s="48"/>
      <c r="G362" s="48"/>
      <c r="H362" s="48"/>
      <c r="I362" s="48"/>
      <c r="J362" s="48"/>
      <c r="K362" s="48"/>
      <c r="L362" s="48"/>
      <c r="M362" s="48"/>
      <c r="N362" s="48"/>
      <c r="O362" s="48"/>
      <c r="P362" s="48"/>
      <c r="Q362" s="48"/>
    </row>
    <row r="363" spans="2:17" s="46" customFormat="1" ht="15" customHeight="1">
      <c r="B363" s="47"/>
      <c r="C363" s="48"/>
      <c r="D363" s="48"/>
      <c r="E363" s="48"/>
      <c r="F363" s="48"/>
      <c r="G363" s="48"/>
      <c r="H363" s="48"/>
      <c r="I363" s="48"/>
      <c r="J363" s="48"/>
      <c r="K363" s="48"/>
      <c r="L363" s="48"/>
      <c r="M363" s="48"/>
      <c r="N363" s="48"/>
      <c r="O363" s="48"/>
      <c r="P363" s="48"/>
      <c r="Q363" s="48"/>
    </row>
    <row r="364" spans="2:17" s="46" customFormat="1" ht="15" customHeight="1">
      <c r="B364" s="47"/>
      <c r="C364" s="48"/>
      <c r="D364" s="48"/>
      <c r="E364" s="48"/>
      <c r="F364" s="48"/>
      <c r="G364" s="48"/>
      <c r="H364" s="48"/>
      <c r="I364" s="48"/>
      <c r="J364" s="48"/>
      <c r="K364" s="48"/>
      <c r="L364" s="48"/>
      <c r="M364" s="48"/>
      <c r="N364" s="48"/>
      <c r="O364" s="48"/>
      <c r="P364" s="48"/>
      <c r="Q364" s="48"/>
    </row>
    <row r="365" spans="2:17" s="46" customFormat="1" ht="15" customHeight="1">
      <c r="B365" s="47"/>
      <c r="C365" s="48"/>
      <c r="D365" s="48"/>
      <c r="E365" s="48"/>
      <c r="F365" s="48"/>
      <c r="G365" s="48"/>
      <c r="H365" s="48"/>
      <c r="I365" s="48"/>
      <c r="J365" s="48"/>
      <c r="K365" s="48"/>
      <c r="L365" s="48"/>
      <c r="M365" s="48"/>
      <c r="N365" s="48"/>
      <c r="O365" s="48"/>
      <c r="P365" s="48"/>
      <c r="Q365" s="48"/>
    </row>
    <row r="366" spans="2:17" s="46" customFormat="1" ht="15" customHeight="1">
      <c r="B366" s="47"/>
      <c r="C366" s="48"/>
      <c r="D366" s="48"/>
      <c r="E366" s="48"/>
      <c r="F366" s="48"/>
      <c r="G366" s="48"/>
      <c r="H366" s="48"/>
      <c r="I366" s="48"/>
      <c r="J366" s="48"/>
      <c r="K366" s="48"/>
      <c r="L366" s="48"/>
      <c r="M366" s="48"/>
      <c r="N366" s="48"/>
      <c r="O366" s="48"/>
      <c r="P366" s="48"/>
      <c r="Q366" s="48"/>
    </row>
    <row r="367" spans="2:17" s="46" customFormat="1" ht="15" customHeight="1">
      <c r="B367" s="47"/>
      <c r="C367" s="48"/>
      <c r="D367" s="48"/>
      <c r="E367" s="48"/>
      <c r="F367" s="48"/>
      <c r="G367" s="48"/>
      <c r="H367" s="48"/>
      <c r="I367" s="48"/>
      <c r="J367" s="48"/>
      <c r="K367" s="48"/>
      <c r="L367" s="48"/>
      <c r="M367" s="48"/>
      <c r="N367" s="48"/>
      <c r="O367" s="48"/>
      <c r="P367" s="48"/>
      <c r="Q367" s="48"/>
    </row>
    <row r="368" spans="2:17" s="46" customFormat="1" ht="15" customHeight="1">
      <c r="B368" s="47"/>
      <c r="C368" s="48"/>
      <c r="D368" s="48"/>
      <c r="E368" s="48"/>
      <c r="F368" s="48"/>
      <c r="G368" s="48"/>
      <c r="H368" s="48"/>
      <c r="I368" s="48"/>
      <c r="J368" s="48"/>
      <c r="K368" s="48"/>
      <c r="L368" s="48"/>
      <c r="M368" s="48"/>
      <c r="N368" s="48"/>
      <c r="O368" s="48"/>
      <c r="P368" s="48"/>
      <c r="Q368" s="48"/>
    </row>
    <row r="369" spans="2:17" s="46" customFormat="1" ht="15" customHeight="1">
      <c r="B369" s="47"/>
      <c r="C369" s="48"/>
      <c r="D369" s="48"/>
      <c r="E369" s="48"/>
      <c r="F369" s="48"/>
      <c r="G369" s="48"/>
      <c r="H369" s="48"/>
      <c r="I369" s="48"/>
      <c r="J369" s="48"/>
      <c r="K369" s="48"/>
      <c r="L369" s="48"/>
      <c r="M369" s="48"/>
      <c r="N369" s="48"/>
      <c r="O369" s="48"/>
      <c r="P369" s="48"/>
      <c r="Q369" s="48"/>
    </row>
    <row r="370" spans="2:17" s="46" customFormat="1" ht="15" customHeight="1">
      <c r="B370" s="47"/>
      <c r="C370" s="48"/>
      <c r="D370" s="48"/>
      <c r="E370" s="48"/>
      <c r="F370" s="48"/>
      <c r="G370" s="48"/>
      <c r="H370" s="48"/>
      <c r="I370" s="48"/>
      <c r="J370" s="48"/>
      <c r="K370" s="48"/>
      <c r="L370" s="48"/>
      <c r="M370" s="48"/>
      <c r="N370" s="48"/>
      <c r="O370" s="48"/>
      <c r="P370" s="48"/>
      <c r="Q370" s="48"/>
    </row>
    <row r="371" spans="2:17" s="46" customFormat="1" ht="15" customHeight="1">
      <c r="B371" s="47"/>
      <c r="C371" s="48"/>
      <c r="D371" s="48"/>
      <c r="E371" s="48"/>
      <c r="F371" s="48"/>
      <c r="G371" s="48"/>
      <c r="H371" s="48"/>
      <c r="I371" s="48"/>
      <c r="J371" s="48"/>
      <c r="K371" s="48"/>
      <c r="L371" s="48"/>
      <c r="M371" s="48"/>
      <c r="N371" s="48"/>
      <c r="O371" s="48"/>
      <c r="P371" s="48"/>
      <c r="Q371" s="48"/>
    </row>
    <row r="372" spans="2:17" s="46" customFormat="1" ht="15" customHeight="1">
      <c r="B372" s="47"/>
      <c r="C372" s="48"/>
      <c r="D372" s="48"/>
      <c r="E372" s="48"/>
      <c r="F372" s="48"/>
      <c r="G372" s="48"/>
      <c r="H372" s="48"/>
      <c r="I372" s="48"/>
      <c r="J372" s="48"/>
      <c r="K372" s="48"/>
      <c r="L372" s="48"/>
      <c r="M372" s="48"/>
      <c r="N372" s="48"/>
      <c r="O372" s="48"/>
      <c r="P372" s="48"/>
      <c r="Q372" s="48"/>
    </row>
    <row r="373" spans="2:17" s="46" customFormat="1" ht="15" customHeight="1">
      <c r="B373" s="47"/>
      <c r="C373" s="48"/>
      <c r="D373" s="48"/>
      <c r="E373" s="48"/>
      <c r="F373" s="48"/>
      <c r="G373" s="48"/>
      <c r="H373" s="48"/>
      <c r="I373" s="48"/>
      <c r="J373" s="48"/>
      <c r="K373" s="48"/>
      <c r="L373" s="48"/>
      <c r="M373" s="48"/>
      <c r="N373" s="48"/>
      <c r="O373" s="48"/>
      <c r="P373" s="48"/>
      <c r="Q373" s="48"/>
    </row>
    <row r="374" spans="2:17" s="46" customFormat="1" ht="15" customHeight="1">
      <c r="B374" s="47"/>
      <c r="C374" s="48"/>
      <c r="D374" s="48"/>
      <c r="E374" s="48"/>
      <c r="F374" s="48"/>
      <c r="G374" s="48"/>
      <c r="H374" s="48"/>
      <c r="I374" s="48"/>
      <c r="J374" s="48"/>
      <c r="K374" s="48"/>
      <c r="L374" s="48"/>
      <c r="M374" s="48"/>
      <c r="N374" s="48"/>
      <c r="O374" s="48"/>
      <c r="P374" s="48"/>
      <c r="Q374" s="48"/>
    </row>
    <row r="375" spans="2:17" s="46" customFormat="1" ht="15" customHeight="1">
      <c r="B375" s="47"/>
      <c r="C375" s="48"/>
      <c r="D375" s="48"/>
      <c r="E375" s="48"/>
      <c r="F375" s="48"/>
      <c r="G375" s="48"/>
      <c r="H375" s="48"/>
      <c r="I375" s="48"/>
      <c r="J375" s="48"/>
      <c r="K375" s="48"/>
      <c r="L375" s="48"/>
      <c r="M375" s="48"/>
      <c r="N375" s="48"/>
      <c r="O375" s="48"/>
      <c r="P375" s="48"/>
      <c r="Q375" s="48"/>
    </row>
    <row r="376" spans="2:17" s="46" customFormat="1" ht="15" customHeight="1">
      <c r="B376" s="47"/>
      <c r="C376" s="48"/>
      <c r="D376" s="48"/>
      <c r="E376" s="48"/>
      <c r="F376" s="48"/>
      <c r="G376" s="48"/>
      <c r="H376" s="48"/>
      <c r="I376" s="48"/>
      <c r="J376" s="48"/>
      <c r="K376" s="48"/>
      <c r="L376" s="48"/>
      <c r="M376" s="48"/>
      <c r="N376" s="48"/>
      <c r="O376" s="48"/>
      <c r="P376" s="48"/>
      <c r="Q376" s="48"/>
    </row>
    <row r="377" spans="2:17" s="46" customFormat="1" ht="15" customHeight="1">
      <c r="B377" s="47"/>
      <c r="C377" s="48"/>
      <c r="D377" s="48"/>
      <c r="E377" s="48"/>
      <c r="F377" s="48"/>
      <c r="G377" s="48"/>
      <c r="H377" s="48"/>
      <c r="I377" s="48"/>
      <c r="J377" s="48"/>
      <c r="K377" s="48"/>
      <c r="L377" s="48"/>
      <c r="M377" s="48"/>
      <c r="N377" s="48"/>
      <c r="O377" s="48"/>
      <c r="P377" s="48"/>
      <c r="Q377" s="48"/>
    </row>
    <row r="378" spans="2:17" s="46" customFormat="1" ht="15" customHeight="1">
      <c r="B378" s="47"/>
      <c r="C378" s="48"/>
      <c r="D378" s="48"/>
      <c r="E378" s="48"/>
      <c r="F378" s="48"/>
      <c r="G378" s="48"/>
      <c r="H378" s="48"/>
      <c r="I378" s="48"/>
      <c r="J378" s="48"/>
      <c r="K378" s="48"/>
      <c r="L378" s="48"/>
      <c r="M378" s="48"/>
      <c r="N378" s="48"/>
      <c r="O378" s="48"/>
      <c r="P378" s="48"/>
      <c r="Q378" s="48"/>
    </row>
    <row r="379" spans="2:17" s="46" customFormat="1" ht="15" customHeight="1">
      <c r="B379" s="47"/>
      <c r="C379" s="48"/>
      <c r="D379" s="48"/>
      <c r="E379" s="48"/>
      <c r="F379" s="48"/>
      <c r="G379" s="48"/>
      <c r="H379" s="48"/>
      <c r="I379" s="48"/>
      <c r="J379" s="48"/>
      <c r="K379" s="48"/>
      <c r="L379" s="48"/>
      <c r="M379" s="48"/>
      <c r="N379" s="48"/>
      <c r="O379" s="48"/>
      <c r="P379" s="48"/>
      <c r="Q379" s="48"/>
    </row>
    <row r="380" spans="2:17" s="46" customFormat="1" ht="15" customHeight="1">
      <c r="B380" s="47"/>
      <c r="C380" s="48"/>
      <c r="D380" s="48"/>
      <c r="E380" s="48"/>
      <c r="F380" s="48"/>
      <c r="G380" s="48"/>
      <c r="H380" s="48"/>
      <c r="I380" s="48"/>
      <c r="J380" s="48"/>
      <c r="K380" s="48"/>
      <c r="L380" s="48"/>
      <c r="M380" s="48"/>
      <c r="N380" s="48"/>
      <c r="O380" s="48"/>
      <c r="P380" s="48"/>
      <c r="Q380" s="48"/>
    </row>
    <row r="381" spans="2:17" s="46" customFormat="1" ht="15" customHeight="1">
      <c r="B381" s="47"/>
      <c r="C381" s="48"/>
      <c r="D381" s="48"/>
      <c r="E381" s="48"/>
      <c r="F381" s="48"/>
      <c r="G381" s="48"/>
      <c r="H381" s="48"/>
      <c r="I381" s="48"/>
      <c r="J381" s="48"/>
      <c r="K381" s="48"/>
      <c r="L381" s="48"/>
      <c r="M381" s="48"/>
      <c r="N381" s="48"/>
      <c r="O381" s="48"/>
      <c r="P381" s="48"/>
      <c r="Q381" s="48"/>
    </row>
    <row r="382" spans="2:17" s="46" customFormat="1" ht="15" customHeight="1">
      <c r="B382" s="47"/>
      <c r="C382" s="48"/>
      <c r="D382" s="48"/>
      <c r="E382" s="48"/>
      <c r="F382" s="48"/>
      <c r="G382" s="48"/>
      <c r="H382" s="48"/>
      <c r="I382" s="48"/>
      <c r="J382" s="48"/>
      <c r="K382" s="48"/>
      <c r="L382" s="48"/>
      <c r="M382" s="48"/>
      <c r="N382" s="48"/>
      <c r="O382" s="48"/>
      <c r="P382" s="48"/>
      <c r="Q382" s="48"/>
    </row>
    <row r="383" spans="2:17" s="46" customFormat="1" ht="15" customHeight="1">
      <c r="B383" s="47"/>
      <c r="C383" s="48"/>
      <c r="D383" s="48"/>
      <c r="E383" s="48"/>
      <c r="F383" s="48"/>
      <c r="G383" s="48"/>
      <c r="H383" s="48"/>
      <c r="I383" s="48"/>
      <c r="J383" s="48"/>
      <c r="K383" s="48"/>
      <c r="L383" s="48"/>
      <c r="M383" s="48"/>
      <c r="N383" s="48"/>
      <c r="O383" s="48"/>
      <c r="P383" s="48"/>
      <c r="Q383" s="48"/>
    </row>
    <row r="384" spans="2:17" s="46" customFormat="1" ht="15" customHeight="1">
      <c r="B384" s="47"/>
      <c r="C384" s="48"/>
      <c r="D384" s="48"/>
      <c r="E384" s="48"/>
      <c r="F384" s="48"/>
      <c r="G384" s="48"/>
      <c r="H384" s="48"/>
      <c r="I384" s="48"/>
      <c r="J384" s="48"/>
      <c r="K384" s="48"/>
      <c r="L384" s="48"/>
      <c r="M384" s="48"/>
      <c r="N384" s="48"/>
      <c r="O384" s="48"/>
      <c r="P384" s="48"/>
      <c r="Q384" s="48"/>
    </row>
    <row r="385" spans="2:17" s="46" customFormat="1" ht="15" customHeight="1">
      <c r="B385" s="47"/>
      <c r="C385" s="48"/>
      <c r="D385" s="48"/>
      <c r="E385" s="48"/>
      <c r="F385" s="48"/>
      <c r="G385" s="48"/>
      <c r="H385" s="48"/>
      <c r="I385" s="48"/>
      <c r="J385" s="48"/>
      <c r="K385" s="48"/>
      <c r="L385" s="48"/>
      <c r="M385" s="48"/>
      <c r="N385" s="48"/>
      <c r="O385" s="48"/>
      <c r="P385" s="48"/>
      <c r="Q385" s="48"/>
    </row>
    <row r="386" spans="2:17" s="46" customFormat="1" ht="15" customHeight="1">
      <c r="B386" s="47"/>
      <c r="C386" s="48"/>
      <c r="D386" s="48"/>
      <c r="E386" s="48"/>
      <c r="F386" s="48"/>
      <c r="G386" s="48"/>
      <c r="H386" s="48"/>
      <c r="I386" s="48"/>
      <c r="J386" s="48"/>
      <c r="K386" s="48"/>
      <c r="L386" s="48"/>
      <c r="M386" s="48"/>
      <c r="N386" s="48"/>
      <c r="O386" s="48"/>
      <c r="P386" s="48"/>
      <c r="Q386" s="48"/>
    </row>
    <row r="387" spans="2:17" s="46" customFormat="1" ht="15" customHeight="1">
      <c r="B387" s="47"/>
      <c r="C387" s="48"/>
      <c r="D387" s="48"/>
      <c r="E387" s="48"/>
      <c r="F387" s="48"/>
      <c r="G387" s="48"/>
      <c r="H387" s="48"/>
      <c r="I387" s="48"/>
      <c r="J387" s="48"/>
      <c r="K387" s="48"/>
      <c r="L387" s="48"/>
      <c r="M387" s="48"/>
      <c r="N387" s="48"/>
      <c r="O387" s="48"/>
      <c r="P387" s="48"/>
      <c r="Q387" s="48"/>
    </row>
    <row r="388" spans="2:17" s="46" customFormat="1" ht="15" customHeight="1">
      <c r="B388" s="47"/>
      <c r="C388" s="48"/>
      <c r="D388" s="48"/>
      <c r="E388" s="48"/>
      <c r="F388" s="48"/>
      <c r="G388" s="48"/>
      <c r="H388" s="48"/>
      <c r="I388" s="48"/>
      <c r="J388" s="48"/>
      <c r="K388" s="48"/>
      <c r="L388" s="48"/>
      <c r="M388" s="48"/>
      <c r="N388" s="48"/>
      <c r="O388" s="48"/>
      <c r="P388" s="48"/>
      <c r="Q388" s="48"/>
    </row>
    <row r="389" spans="2:17" s="46" customFormat="1" ht="15" customHeight="1">
      <c r="B389" s="47"/>
      <c r="C389" s="48"/>
      <c r="D389" s="48"/>
      <c r="E389" s="48"/>
      <c r="F389" s="48"/>
      <c r="G389" s="48"/>
      <c r="H389" s="48"/>
      <c r="I389" s="48"/>
      <c r="J389" s="48"/>
      <c r="K389" s="48"/>
      <c r="L389" s="48"/>
      <c r="M389" s="48"/>
      <c r="N389" s="48"/>
      <c r="O389" s="48"/>
      <c r="P389" s="48"/>
      <c r="Q389" s="48"/>
    </row>
    <row r="390" spans="2:17" s="46" customFormat="1" ht="15" customHeight="1">
      <c r="B390" s="47"/>
      <c r="C390" s="48"/>
      <c r="D390" s="48"/>
      <c r="E390" s="48"/>
      <c r="F390" s="48"/>
      <c r="G390" s="48"/>
      <c r="H390" s="48"/>
      <c r="I390" s="48"/>
      <c r="J390" s="48"/>
      <c r="K390" s="48"/>
      <c r="L390" s="48"/>
      <c r="M390" s="48"/>
      <c r="N390" s="48"/>
      <c r="O390" s="48"/>
      <c r="P390" s="48"/>
      <c r="Q390" s="48"/>
    </row>
    <row r="391" spans="2:17" s="46" customFormat="1" ht="15" customHeight="1">
      <c r="B391" s="47"/>
      <c r="C391" s="48"/>
      <c r="D391" s="48"/>
      <c r="E391" s="48"/>
      <c r="F391" s="48"/>
      <c r="G391" s="48"/>
      <c r="H391" s="48"/>
      <c r="I391" s="48"/>
      <c r="J391" s="48"/>
      <c r="K391" s="48"/>
      <c r="L391" s="48"/>
      <c r="M391" s="48"/>
      <c r="N391" s="48"/>
      <c r="O391" s="48"/>
      <c r="P391" s="48"/>
      <c r="Q391" s="48"/>
    </row>
    <row r="392" spans="2:17" s="46" customFormat="1" ht="15" customHeight="1">
      <c r="B392" s="47"/>
      <c r="C392" s="48"/>
      <c r="D392" s="48"/>
      <c r="E392" s="48"/>
      <c r="F392" s="48"/>
      <c r="G392" s="48"/>
      <c r="H392" s="48"/>
      <c r="I392" s="48"/>
      <c r="J392" s="48"/>
      <c r="K392" s="48"/>
      <c r="L392" s="48"/>
      <c r="M392" s="48"/>
      <c r="N392" s="48"/>
      <c r="O392" s="48"/>
      <c r="P392" s="48"/>
      <c r="Q392" s="48"/>
    </row>
    <row r="393" spans="2:17" s="46" customFormat="1" ht="15" customHeight="1">
      <c r="B393" s="47"/>
      <c r="C393" s="48"/>
      <c r="D393" s="48"/>
      <c r="E393" s="48"/>
      <c r="F393" s="48"/>
      <c r="G393" s="48"/>
      <c r="H393" s="48"/>
      <c r="I393" s="48"/>
      <c r="J393" s="48"/>
      <c r="K393" s="48"/>
      <c r="L393" s="48"/>
      <c r="M393" s="48"/>
      <c r="N393" s="48"/>
      <c r="O393" s="48"/>
      <c r="P393" s="48"/>
      <c r="Q393" s="48"/>
    </row>
    <row r="394" spans="2:17" s="46" customFormat="1" ht="15" customHeight="1">
      <c r="B394" s="47"/>
      <c r="C394" s="48"/>
      <c r="D394" s="48"/>
      <c r="E394" s="48"/>
      <c r="F394" s="48"/>
      <c r="G394" s="48"/>
      <c r="H394" s="48"/>
      <c r="I394" s="48"/>
      <c r="J394" s="48"/>
      <c r="K394" s="48"/>
      <c r="L394" s="48"/>
      <c r="M394" s="48"/>
      <c r="N394" s="48"/>
      <c r="O394" s="48"/>
      <c r="P394" s="48"/>
      <c r="Q394" s="48"/>
    </row>
    <row r="395" spans="2:17" s="46" customFormat="1" ht="15" customHeight="1">
      <c r="B395" s="47"/>
      <c r="C395" s="48"/>
      <c r="D395" s="48"/>
      <c r="E395" s="48"/>
      <c r="F395" s="48"/>
      <c r="G395" s="48"/>
      <c r="H395" s="48"/>
      <c r="I395" s="48"/>
      <c r="J395" s="48"/>
      <c r="K395" s="48"/>
      <c r="L395" s="48"/>
      <c r="M395" s="48"/>
      <c r="N395" s="48"/>
      <c r="O395" s="48"/>
      <c r="P395" s="48"/>
      <c r="Q395" s="48"/>
    </row>
    <row r="396" spans="2:17" s="46" customFormat="1" ht="15" customHeight="1">
      <c r="B396" s="47"/>
      <c r="C396" s="48"/>
      <c r="D396" s="48"/>
      <c r="E396" s="48"/>
      <c r="F396" s="48"/>
      <c r="G396" s="48"/>
      <c r="H396" s="48"/>
      <c r="I396" s="48"/>
      <c r="J396" s="48"/>
      <c r="K396" s="48"/>
      <c r="L396" s="48"/>
      <c r="M396" s="48"/>
      <c r="N396" s="48"/>
      <c r="O396" s="48"/>
      <c r="P396" s="48"/>
      <c r="Q396" s="48"/>
    </row>
    <row r="397" spans="2:17" s="46" customFormat="1" ht="15" customHeight="1">
      <c r="B397" s="47"/>
      <c r="C397" s="48"/>
      <c r="D397" s="48"/>
      <c r="E397" s="48"/>
      <c r="F397" s="48"/>
      <c r="G397" s="48"/>
      <c r="H397" s="48"/>
      <c r="I397" s="48"/>
      <c r="J397" s="48"/>
      <c r="K397" s="48"/>
      <c r="L397" s="48"/>
      <c r="M397" s="48"/>
      <c r="N397" s="48"/>
      <c r="O397" s="48"/>
      <c r="P397" s="48"/>
      <c r="Q397" s="48"/>
    </row>
    <row r="398" spans="2:17" s="46" customFormat="1" ht="15" customHeight="1">
      <c r="B398" s="47"/>
      <c r="C398" s="48"/>
      <c r="D398" s="48"/>
      <c r="E398" s="48"/>
      <c r="F398" s="48"/>
      <c r="G398" s="48"/>
      <c r="H398" s="48"/>
      <c r="I398" s="48"/>
      <c r="J398" s="48"/>
      <c r="K398" s="48"/>
      <c r="L398" s="48"/>
      <c r="M398" s="48"/>
      <c r="N398" s="48"/>
      <c r="O398" s="48"/>
      <c r="P398" s="48"/>
      <c r="Q398" s="48"/>
    </row>
    <row r="399" spans="2:17" s="46" customFormat="1" ht="15" customHeight="1">
      <c r="B399" s="47"/>
      <c r="C399" s="48"/>
      <c r="D399" s="48"/>
      <c r="E399" s="48"/>
      <c r="F399" s="48"/>
      <c r="G399" s="48"/>
      <c r="H399" s="48"/>
      <c r="I399" s="48"/>
      <c r="J399" s="48"/>
      <c r="K399" s="48"/>
      <c r="L399" s="48"/>
      <c r="M399" s="48"/>
      <c r="N399" s="48"/>
      <c r="O399" s="48"/>
      <c r="P399" s="48"/>
      <c r="Q399" s="48"/>
    </row>
    <row r="400" spans="2:17" s="46" customFormat="1" ht="15" customHeight="1">
      <c r="B400" s="47"/>
      <c r="C400" s="48"/>
      <c r="D400" s="48"/>
      <c r="E400" s="48"/>
      <c r="F400" s="48"/>
      <c r="G400" s="48"/>
      <c r="H400" s="48"/>
      <c r="I400" s="48"/>
      <c r="J400" s="48"/>
      <c r="K400" s="48"/>
      <c r="L400" s="48"/>
      <c r="M400" s="48"/>
      <c r="N400" s="48"/>
      <c r="O400" s="48"/>
      <c r="P400" s="48"/>
      <c r="Q400" s="48"/>
    </row>
    <row r="401" spans="2:17" s="46" customFormat="1" ht="15" customHeight="1">
      <c r="B401" s="47"/>
      <c r="C401" s="48"/>
      <c r="D401" s="48"/>
      <c r="E401" s="48"/>
      <c r="F401" s="48"/>
      <c r="G401" s="48"/>
      <c r="H401" s="48"/>
      <c r="I401" s="48"/>
      <c r="J401" s="48"/>
      <c r="K401" s="48"/>
      <c r="L401" s="48"/>
      <c r="M401" s="48"/>
      <c r="N401" s="48"/>
      <c r="O401" s="48"/>
      <c r="P401" s="48"/>
      <c r="Q401" s="48"/>
    </row>
    <row r="402" spans="2:17" s="46" customFormat="1" ht="15" customHeight="1">
      <c r="B402" s="47"/>
      <c r="C402" s="48"/>
      <c r="D402" s="48"/>
      <c r="E402" s="48"/>
      <c r="F402" s="48"/>
      <c r="G402" s="48"/>
      <c r="H402" s="48"/>
      <c r="I402" s="48"/>
      <c r="J402" s="48"/>
      <c r="K402" s="48"/>
      <c r="L402" s="48"/>
      <c r="M402" s="48"/>
      <c r="N402" s="48"/>
      <c r="O402" s="48"/>
      <c r="P402" s="48"/>
      <c r="Q402" s="48"/>
    </row>
    <row r="403" spans="2:17" s="46" customFormat="1" ht="15" customHeight="1">
      <c r="B403" s="47"/>
      <c r="C403" s="48"/>
      <c r="D403" s="48"/>
      <c r="E403" s="48"/>
      <c r="F403" s="48"/>
      <c r="G403" s="48"/>
      <c r="H403" s="48"/>
      <c r="I403" s="48"/>
      <c r="J403" s="48"/>
      <c r="K403" s="48"/>
      <c r="L403" s="48"/>
      <c r="M403" s="48"/>
      <c r="N403" s="48"/>
      <c r="O403" s="48"/>
      <c r="P403" s="48"/>
      <c r="Q403" s="48"/>
    </row>
    <row r="404" spans="2:17" s="46" customFormat="1" ht="15" customHeight="1">
      <c r="B404" s="47"/>
      <c r="C404" s="48"/>
      <c r="D404" s="48"/>
      <c r="E404" s="48"/>
      <c r="F404" s="48"/>
      <c r="G404" s="48"/>
      <c r="H404" s="48"/>
      <c r="I404" s="48"/>
      <c r="J404" s="48"/>
      <c r="K404" s="48"/>
      <c r="L404" s="48"/>
      <c r="M404" s="48"/>
      <c r="N404" s="48"/>
      <c r="O404" s="48"/>
      <c r="P404" s="48"/>
      <c r="Q404" s="48"/>
    </row>
    <row r="405" spans="2:17" s="46" customFormat="1" ht="15" customHeight="1">
      <c r="B405" s="47"/>
      <c r="C405" s="48"/>
      <c r="D405" s="48"/>
      <c r="E405" s="48"/>
      <c r="F405" s="48"/>
      <c r="G405" s="48"/>
      <c r="H405" s="48"/>
      <c r="I405" s="48"/>
      <c r="J405" s="48"/>
      <c r="K405" s="48"/>
      <c r="L405" s="48"/>
      <c r="M405" s="48"/>
      <c r="N405" s="48"/>
      <c r="O405" s="48"/>
      <c r="P405" s="48"/>
      <c r="Q405" s="48"/>
    </row>
    <row r="406" spans="2:17" s="46" customFormat="1" ht="15" customHeight="1">
      <c r="B406" s="47"/>
      <c r="C406" s="48"/>
      <c r="D406" s="48"/>
      <c r="E406" s="48"/>
      <c r="F406" s="48"/>
      <c r="G406" s="48"/>
      <c r="H406" s="48"/>
      <c r="I406" s="48"/>
      <c r="J406" s="48"/>
      <c r="K406" s="48"/>
      <c r="L406" s="48"/>
      <c r="M406" s="48"/>
      <c r="N406" s="48"/>
      <c r="O406" s="48"/>
      <c r="P406" s="48"/>
      <c r="Q406" s="48"/>
    </row>
    <row r="407" spans="2:17" s="46" customFormat="1" ht="15" customHeight="1">
      <c r="B407" s="47"/>
      <c r="C407" s="48"/>
      <c r="D407" s="48"/>
      <c r="E407" s="48"/>
      <c r="F407" s="48"/>
      <c r="G407" s="48"/>
      <c r="H407" s="48"/>
      <c r="I407" s="48"/>
      <c r="J407" s="48"/>
      <c r="K407" s="48"/>
      <c r="L407" s="48"/>
      <c r="M407" s="48"/>
      <c r="N407" s="48"/>
      <c r="O407" s="48"/>
      <c r="P407" s="48"/>
      <c r="Q407" s="48"/>
    </row>
    <row r="408" spans="2:17" s="46" customFormat="1" ht="15" customHeight="1">
      <c r="B408" s="47"/>
      <c r="C408" s="48"/>
      <c r="D408" s="48"/>
      <c r="E408" s="48"/>
      <c r="F408" s="48"/>
      <c r="G408" s="48"/>
      <c r="H408" s="48"/>
      <c r="I408" s="48"/>
      <c r="J408" s="48"/>
      <c r="K408" s="48"/>
      <c r="L408" s="48"/>
      <c r="M408" s="48"/>
      <c r="N408" s="48"/>
      <c r="O408" s="48"/>
      <c r="P408" s="48"/>
      <c r="Q408" s="48"/>
    </row>
    <row r="409" spans="2:17" s="46" customFormat="1" ht="15" customHeight="1">
      <c r="B409" s="47"/>
      <c r="C409" s="48"/>
      <c r="D409" s="48"/>
      <c r="E409" s="48"/>
      <c r="F409" s="48"/>
      <c r="G409" s="48"/>
      <c r="H409" s="48"/>
      <c r="I409" s="48"/>
      <c r="J409" s="48"/>
      <c r="K409" s="48"/>
      <c r="L409" s="48"/>
      <c r="M409" s="48"/>
      <c r="N409" s="48"/>
      <c r="O409" s="48"/>
      <c r="P409" s="48"/>
      <c r="Q409" s="48"/>
    </row>
    <row r="410" spans="2:17" s="46" customFormat="1" ht="15" customHeight="1">
      <c r="B410" s="47"/>
      <c r="C410" s="48"/>
      <c r="D410" s="48"/>
      <c r="E410" s="48"/>
      <c r="F410" s="48"/>
      <c r="G410" s="48"/>
      <c r="H410" s="48"/>
      <c r="I410" s="48"/>
      <c r="J410" s="48"/>
      <c r="K410" s="48"/>
      <c r="L410" s="48"/>
      <c r="M410" s="48"/>
      <c r="N410" s="48"/>
      <c r="O410" s="48"/>
      <c r="P410" s="48"/>
      <c r="Q410" s="48"/>
    </row>
    <row r="411" spans="2:17" s="46" customFormat="1" ht="15" customHeight="1">
      <c r="B411" s="47"/>
      <c r="C411" s="48"/>
      <c r="D411" s="48"/>
      <c r="E411" s="48"/>
      <c r="F411" s="48"/>
      <c r="G411" s="48"/>
      <c r="H411" s="48"/>
      <c r="I411" s="48"/>
      <c r="J411" s="48"/>
      <c r="K411" s="48"/>
      <c r="L411" s="48"/>
      <c r="M411" s="48"/>
      <c r="N411" s="48"/>
      <c r="O411" s="48"/>
      <c r="P411" s="48"/>
      <c r="Q411" s="48"/>
    </row>
    <row r="412" spans="2:17" s="46" customFormat="1" ht="15" customHeight="1">
      <c r="B412" s="47"/>
      <c r="C412" s="48"/>
      <c r="D412" s="48"/>
      <c r="E412" s="48"/>
      <c r="F412" s="48"/>
      <c r="G412" s="48"/>
      <c r="H412" s="48"/>
      <c r="I412" s="48"/>
      <c r="J412" s="48"/>
      <c r="K412" s="48"/>
      <c r="L412" s="48"/>
      <c r="M412" s="48"/>
      <c r="N412" s="48"/>
      <c r="O412" s="48"/>
      <c r="P412" s="48"/>
      <c r="Q412" s="48"/>
    </row>
    <row r="413" spans="2:17" s="46" customFormat="1" ht="15" customHeight="1">
      <c r="B413" s="47"/>
      <c r="C413" s="48"/>
      <c r="D413" s="48"/>
      <c r="E413" s="48"/>
      <c r="F413" s="48"/>
      <c r="G413" s="48"/>
      <c r="H413" s="48"/>
      <c r="I413" s="48"/>
      <c r="J413" s="48"/>
      <c r="K413" s="48"/>
      <c r="L413" s="48"/>
      <c r="M413" s="48"/>
      <c r="N413" s="48"/>
      <c r="O413" s="48"/>
      <c r="P413" s="48"/>
      <c r="Q413" s="48"/>
    </row>
    <row r="414" spans="2:17" s="46" customFormat="1" ht="15" customHeight="1">
      <c r="B414" s="47"/>
      <c r="C414" s="48"/>
      <c r="D414" s="48"/>
      <c r="E414" s="48"/>
      <c r="F414" s="48"/>
      <c r="G414" s="48"/>
      <c r="H414" s="48"/>
      <c r="I414" s="48"/>
      <c r="J414" s="48"/>
      <c r="K414" s="48"/>
      <c r="L414" s="48"/>
      <c r="M414" s="48"/>
      <c r="N414" s="48"/>
      <c r="O414" s="48"/>
      <c r="P414" s="48"/>
      <c r="Q414" s="48"/>
    </row>
    <row r="415" spans="2:17" s="46" customFormat="1" ht="15" customHeight="1">
      <c r="B415" s="47"/>
      <c r="C415" s="48"/>
      <c r="D415" s="48"/>
      <c r="E415" s="48"/>
      <c r="F415" s="48"/>
      <c r="G415" s="48"/>
      <c r="H415" s="48"/>
      <c r="I415" s="48"/>
      <c r="J415" s="48"/>
      <c r="K415" s="48"/>
      <c r="L415" s="48"/>
      <c r="M415" s="48"/>
      <c r="N415" s="48"/>
      <c r="O415" s="48"/>
      <c r="P415" s="48"/>
      <c r="Q415" s="48"/>
    </row>
    <row r="416" spans="2:17" s="46" customFormat="1" ht="15" customHeight="1">
      <c r="B416" s="47"/>
      <c r="C416" s="48"/>
      <c r="D416" s="48"/>
      <c r="E416" s="48"/>
      <c r="F416" s="48"/>
      <c r="G416" s="48"/>
      <c r="H416" s="48"/>
      <c r="I416" s="48"/>
      <c r="J416" s="48"/>
      <c r="K416" s="48"/>
      <c r="L416" s="48"/>
      <c r="M416" s="48"/>
      <c r="N416" s="48"/>
      <c r="O416" s="48"/>
      <c r="P416" s="48"/>
      <c r="Q416" s="48"/>
    </row>
    <row r="417" spans="2:17" s="46" customFormat="1" ht="15" customHeight="1">
      <c r="B417" s="47"/>
      <c r="C417" s="48"/>
      <c r="D417" s="48"/>
      <c r="E417" s="48"/>
      <c r="F417" s="48"/>
      <c r="G417" s="48"/>
      <c r="H417" s="48"/>
      <c r="I417" s="48"/>
      <c r="J417" s="48"/>
      <c r="K417" s="48"/>
      <c r="L417" s="48"/>
      <c r="M417" s="48"/>
      <c r="N417" s="48"/>
      <c r="O417" s="48"/>
      <c r="P417" s="48"/>
      <c r="Q417" s="48"/>
    </row>
    <row r="418" spans="2:17" s="46" customFormat="1" ht="15" customHeight="1">
      <c r="B418" s="47"/>
      <c r="C418" s="48"/>
      <c r="D418" s="48"/>
      <c r="E418" s="48"/>
      <c r="F418" s="48"/>
      <c r="G418" s="48"/>
      <c r="H418" s="48"/>
      <c r="I418" s="48"/>
      <c r="J418" s="48"/>
      <c r="K418" s="48"/>
      <c r="L418" s="48"/>
      <c r="M418" s="48"/>
      <c r="N418" s="48"/>
      <c r="O418" s="48"/>
      <c r="P418" s="48"/>
      <c r="Q418" s="48"/>
    </row>
    <row r="419" spans="2:17" s="46" customFormat="1" ht="15" customHeight="1">
      <c r="B419" s="47"/>
      <c r="C419" s="48"/>
      <c r="D419" s="48"/>
      <c r="E419" s="48"/>
      <c r="F419" s="48"/>
      <c r="G419" s="48"/>
      <c r="H419" s="48"/>
      <c r="I419" s="48"/>
      <c r="J419" s="48"/>
      <c r="K419" s="48"/>
      <c r="L419" s="48"/>
      <c r="M419" s="48"/>
      <c r="N419" s="48"/>
      <c r="O419" s="48"/>
      <c r="P419" s="48"/>
      <c r="Q419" s="48"/>
    </row>
    <row r="420" spans="2:17" s="46" customFormat="1" ht="15" customHeight="1">
      <c r="B420" s="47"/>
      <c r="C420" s="48"/>
      <c r="D420" s="48"/>
      <c r="E420" s="48"/>
      <c r="F420" s="48"/>
      <c r="G420" s="48"/>
      <c r="H420" s="48"/>
      <c r="I420" s="48"/>
      <c r="J420" s="48"/>
      <c r="K420" s="48"/>
      <c r="L420" s="48"/>
      <c r="M420" s="48"/>
      <c r="N420" s="48"/>
      <c r="O420" s="48"/>
      <c r="P420" s="48"/>
      <c r="Q420" s="48"/>
    </row>
    <row r="421" spans="2:17" s="46" customFormat="1" ht="15" customHeight="1">
      <c r="B421" s="47"/>
      <c r="C421" s="48"/>
      <c r="D421" s="48"/>
      <c r="E421" s="48"/>
      <c r="F421" s="48"/>
      <c r="G421" s="48"/>
      <c r="H421" s="48"/>
      <c r="I421" s="48"/>
      <c r="J421" s="48"/>
      <c r="K421" s="48"/>
      <c r="L421" s="48"/>
      <c r="M421" s="48"/>
      <c r="N421" s="48"/>
      <c r="O421" s="48"/>
      <c r="P421" s="48"/>
      <c r="Q421" s="48"/>
    </row>
    <row r="422" spans="2:17" s="46" customFormat="1" ht="15" customHeight="1">
      <c r="B422" s="47"/>
      <c r="C422" s="48"/>
      <c r="D422" s="48"/>
      <c r="E422" s="48"/>
      <c r="F422" s="48"/>
      <c r="G422" s="48"/>
      <c r="H422" s="48"/>
      <c r="I422" s="48"/>
      <c r="J422" s="48"/>
      <c r="K422" s="48"/>
      <c r="L422" s="48"/>
      <c r="M422" s="48"/>
      <c r="N422" s="48"/>
      <c r="O422" s="48"/>
      <c r="P422" s="48"/>
      <c r="Q422" s="48"/>
    </row>
    <row r="423" spans="2:17" s="46" customFormat="1" ht="15" customHeight="1">
      <c r="B423" s="47"/>
      <c r="C423" s="48"/>
      <c r="D423" s="48"/>
      <c r="E423" s="48"/>
      <c r="F423" s="48"/>
      <c r="G423" s="48"/>
      <c r="H423" s="48"/>
      <c r="I423" s="48"/>
      <c r="J423" s="48"/>
      <c r="K423" s="48"/>
      <c r="L423" s="48"/>
      <c r="M423" s="48"/>
      <c r="N423" s="48"/>
      <c r="O423" s="48"/>
      <c r="P423" s="48"/>
      <c r="Q423" s="48"/>
    </row>
    <row r="424" spans="2:17" s="46" customFormat="1" ht="15" customHeight="1">
      <c r="B424" s="47"/>
      <c r="C424" s="48"/>
      <c r="D424" s="48"/>
      <c r="E424" s="48"/>
      <c r="F424" s="48"/>
      <c r="G424" s="48"/>
      <c r="H424" s="48"/>
      <c r="I424" s="48"/>
      <c r="J424" s="48"/>
      <c r="K424" s="48"/>
      <c r="L424" s="48"/>
      <c r="M424" s="48"/>
      <c r="N424" s="48"/>
      <c r="O424" s="48"/>
      <c r="P424" s="48"/>
      <c r="Q424" s="48"/>
    </row>
    <row r="425" spans="2:17" s="46" customFormat="1" ht="15" customHeight="1">
      <c r="B425" s="47"/>
      <c r="C425" s="48"/>
      <c r="D425" s="48"/>
      <c r="E425" s="48"/>
      <c r="F425" s="48"/>
      <c r="G425" s="48"/>
      <c r="H425" s="48"/>
      <c r="I425" s="48"/>
      <c r="J425" s="48"/>
      <c r="K425" s="48"/>
      <c r="L425" s="48"/>
      <c r="M425" s="48"/>
      <c r="N425" s="48"/>
      <c r="O425" s="48"/>
      <c r="P425" s="48"/>
      <c r="Q425" s="48"/>
    </row>
    <row r="426" spans="2:17" s="46" customFormat="1" ht="15" customHeight="1">
      <c r="B426" s="47"/>
      <c r="C426" s="48"/>
      <c r="D426" s="48"/>
      <c r="E426" s="48"/>
      <c r="F426" s="48"/>
      <c r="G426" s="48"/>
      <c r="H426" s="48"/>
      <c r="I426" s="48"/>
      <c r="J426" s="48"/>
      <c r="K426" s="48"/>
      <c r="L426" s="48"/>
      <c r="M426" s="48"/>
      <c r="N426" s="48"/>
      <c r="O426" s="48"/>
      <c r="P426" s="48"/>
      <c r="Q426" s="48"/>
    </row>
    <row r="427" spans="2:17" s="46" customFormat="1" ht="15" customHeight="1">
      <c r="B427" s="47"/>
      <c r="C427" s="48"/>
      <c r="D427" s="48"/>
      <c r="E427" s="48"/>
      <c r="F427" s="48"/>
      <c r="G427" s="48"/>
      <c r="H427" s="48"/>
      <c r="I427" s="48"/>
      <c r="J427" s="48"/>
      <c r="K427" s="48"/>
      <c r="L427" s="48"/>
      <c r="M427" s="48"/>
      <c r="N427" s="48"/>
      <c r="O427" s="48"/>
      <c r="P427" s="48"/>
      <c r="Q427" s="48"/>
    </row>
    <row r="428" spans="2:17" s="46" customFormat="1" ht="15" customHeight="1">
      <c r="B428" s="47"/>
      <c r="C428" s="48"/>
      <c r="D428" s="48"/>
      <c r="E428" s="48"/>
      <c r="F428" s="48"/>
      <c r="G428" s="48"/>
      <c r="H428" s="48"/>
      <c r="I428" s="48"/>
      <c r="J428" s="48"/>
      <c r="K428" s="48"/>
      <c r="L428" s="48"/>
      <c r="M428" s="48"/>
      <c r="N428" s="48"/>
      <c r="O428" s="48"/>
      <c r="P428" s="48"/>
      <c r="Q428" s="48"/>
    </row>
    <row r="429" spans="2:17" s="46" customFormat="1" ht="15" customHeight="1">
      <c r="B429" s="47"/>
      <c r="C429" s="48"/>
      <c r="D429" s="48"/>
      <c r="E429" s="48"/>
      <c r="F429" s="48"/>
      <c r="G429" s="48"/>
      <c r="H429" s="48"/>
      <c r="I429" s="48"/>
      <c r="J429" s="48"/>
      <c r="K429" s="48"/>
      <c r="L429" s="48"/>
      <c r="M429" s="48"/>
      <c r="N429" s="48"/>
      <c r="O429" s="48"/>
      <c r="P429" s="48"/>
      <c r="Q429" s="48"/>
    </row>
    <row r="430" spans="2:17" s="46" customFormat="1" ht="15" customHeight="1">
      <c r="B430" s="47"/>
      <c r="C430" s="48"/>
      <c r="D430" s="48"/>
      <c r="E430" s="48"/>
      <c r="F430" s="48"/>
      <c r="G430" s="48"/>
      <c r="H430" s="48"/>
      <c r="I430" s="48"/>
      <c r="J430" s="48"/>
      <c r="K430" s="48"/>
      <c r="L430" s="48"/>
      <c r="M430" s="48"/>
      <c r="N430" s="48"/>
      <c r="O430" s="48"/>
      <c r="P430" s="48"/>
      <c r="Q430" s="48"/>
    </row>
    <row r="431" spans="2:17" s="46" customFormat="1" ht="15" customHeight="1">
      <c r="B431" s="47"/>
      <c r="C431" s="48"/>
      <c r="D431" s="48"/>
      <c r="E431" s="48"/>
      <c r="F431" s="48"/>
      <c r="G431" s="48"/>
      <c r="H431" s="48"/>
      <c r="I431" s="48"/>
      <c r="J431" s="48"/>
      <c r="K431" s="48"/>
      <c r="L431" s="48"/>
      <c r="M431" s="48"/>
      <c r="N431" s="48"/>
      <c r="O431" s="48"/>
      <c r="P431" s="48"/>
      <c r="Q431" s="48"/>
    </row>
    <row r="432" spans="2:17" s="46" customFormat="1" ht="15" customHeight="1">
      <c r="B432" s="47"/>
      <c r="C432" s="48"/>
      <c r="D432" s="48"/>
      <c r="E432" s="48"/>
      <c r="F432" s="48"/>
      <c r="G432" s="48"/>
      <c r="H432" s="48"/>
      <c r="I432" s="48"/>
      <c r="J432" s="48"/>
      <c r="K432" s="48"/>
      <c r="L432" s="48"/>
      <c r="M432" s="48"/>
      <c r="N432" s="48"/>
      <c r="O432" s="48"/>
      <c r="P432" s="48"/>
      <c r="Q432" s="48"/>
    </row>
    <row r="433" spans="2:17" s="46" customFormat="1" ht="15" customHeight="1">
      <c r="B433" s="47"/>
      <c r="C433" s="48"/>
      <c r="D433" s="48"/>
      <c r="E433" s="48"/>
      <c r="F433" s="48"/>
      <c r="G433" s="48"/>
      <c r="H433" s="48"/>
      <c r="I433" s="48"/>
      <c r="J433" s="48"/>
      <c r="K433" s="48"/>
      <c r="L433" s="48"/>
      <c r="M433" s="48"/>
      <c r="N433" s="48"/>
      <c r="O433" s="48"/>
      <c r="P433" s="48"/>
      <c r="Q433" s="48"/>
    </row>
    <row r="434" spans="2:17" s="46" customFormat="1" ht="15" customHeight="1">
      <c r="B434" s="47"/>
      <c r="C434" s="48"/>
      <c r="D434" s="48"/>
      <c r="E434" s="48"/>
      <c r="F434" s="48"/>
      <c r="G434" s="48"/>
      <c r="H434" s="48"/>
      <c r="I434" s="48"/>
      <c r="J434" s="48"/>
      <c r="K434" s="48"/>
      <c r="L434" s="48"/>
      <c r="M434" s="48"/>
      <c r="N434" s="48"/>
      <c r="O434" s="48"/>
      <c r="P434" s="48"/>
      <c r="Q434" s="48"/>
    </row>
    <row r="435" spans="2:17" s="46" customFormat="1" ht="15" customHeight="1">
      <c r="B435" s="47"/>
      <c r="C435" s="48"/>
      <c r="D435" s="48"/>
      <c r="E435" s="48"/>
      <c r="F435" s="48"/>
      <c r="G435" s="48"/>
      <c r="H435" s="48"/>
      <c r="I435" s="48"/>
      <c r="J435" s="48"/>
      <c r="K435" s="48"/>
      <c r="L435" s="48"/>
      <c r="M435" s="48"/>
      <c r="N435" s="48"/>
      <c r="O435" s="48"/>
      <c r="P435" s="48"/>
      <c r="Q435" s="48"/>
    </row>
    <row r="436" spans="2:17" s="46" customFormat="1" ht="15" customHeight="1">
      <c r="B436" s="47"/>
      <c r="C436" s="48"/>
      <c r="D436" s="48"/>
      <c r="E436" s="48"/>
      <c r="F436" s="48"/>
      <c r="G436" s="48"/>
      <c r="H436" s="48"/>
      <c r="I436" s="48"/>
      <c r="J436" s="48"/>
      <c r="K436" s="48"/>
      <c r="L436" s="48"/>
      <c r="M436" s="48"/>
      <c r="N436" s="48"/>
      <c r="O436" s="48"/>
      <c r="P436" s="48"/>
      <c r="Q436" s="48"/>
    </row>
    <row r="437" spans="2:17" s="46" customFormat="1" ht="15" customHeight="1">
      <c r="B437" s="47"/>
      <c r="C437" s="48"/>
      <c r="D437" s="48"/>
      <c r="E437" s="48"/>
      <c r="F437" s="48"/>
      <c r="G437" s="48"/>
      <c r="H437" s="48"/>
      <c r="I437" s="48"/>
      <c r="J437" s="48"/>
      <c r="K437" s="48"/>
      <c r="L437" s="48"/>
      <c r="M437" s="48"/>
      <c r="N437" s="48"/>
      <c r="O437" s="48"/>
      <c r="P437" s="48"/>
      <c r="Q437" s="48"/>
    </row>
    <row r="438" spans="2:17" s="46" customFormat="1" ht="15" customHeight="1">
      <c r="B438" s="47"/>
      <c r="C438" s="48"/>
      <c r="D438" s="48"/>
      <c r="E438" s="48"/>
      <c r="F438" s="48"/>
      <c r="G438" s="48"/>
      <c r="H438" s="48"/>
      <c r="I438" s="48"/>
      <c r="J438" s="48"/>
      <c r="K438" s="48"/>
      <c r="L438" s="48"/>
      <c r="M438" s="48"/>
      <c r="N438" s="48"/>
      <c r="O438" s="48"/>
      <c r="P438" s="48"/>
      <c r="Q438" s="48"/>
    </row>
    <row r="439" spans="2:17" s="46" customFormat="1" ht="15" customHeight="1">
      <c r="B439" s="47"/>
      <c r="C439" s="48"/>
      <c r="D439" s="48"/>
      <c r="E439" s="48"/>
      <c r="F439" s="48"/>
      <c r="G439" s="48"/>
      <c r="H439" s="48"/>
      <c r="I439" s="48"/>
      <c r="J439" s="48"/>
      <c r="K439" s="48"/>
      <c r="L439" s="48"/>
      <c r="M439" s="48"/>
      <c r="N439" s="48"/>
      <c r="O439" s="48"/>
      <c r="P439" s="48"/>
      <c r="Q439" s="48"/>
    </row>
    <row r="440" spans="2:17" s="46" customFormat="1" ht="15" customHeight="1">
      <c r="B440" s="47"/>
      <c r="C440" s="48"/>
      <c r="D440" s="48"/>
      <c r="E440" s="48"/>
      <c r="F440" s="48"/>
      <c r="G440" s="48"/>
      <c r="H440" s="48"/>
      <c r="I440" s="48"/>
      <c r="J440" s="48"/>
      <c r="K440" s="48"/>
      <c r="L440" s="48"/>
      <c r="M440" s="48"/>
      <c r="N440" s="48"/>
      <c r="O440" s="48"/>
      <c r="P440" s="48"/>
      <c r="Q440" s="48"/>
    </row>
    <row r="441" spans="2:17" s="46" customFormat="1" ht="15" customHeight="1">
      <c r="B441" s="47"/>
      <c r="C441" s="48"/>
      <c r="D441" s="48"/>
      <c r="E441" s="48"/>
      <c r="F441" s="48"/>
      <c r="G441" s="48"/>
      <c r="H441" s="48"/>
      <c r="I441" s="48"/>
      <c r="J441" s="48"/>
      <c r="K441" s="48"/>
      <c r="L441" s="48"/>
      <c r="M441" s="48"/>
      <c r="N441" s="48"/>
      <c r="O441" s="48"/>
      <c r="P441" s="48"/>
      <c r="Q441" s="48"/>
    </row>
    <row r="442" spans="2:17" s="46" customFormat="1" ht="15" customHeight="1">
      <c r="B442" s="47"/>
      <c r="C442" s="48"/>
      <c r="D442" s="48"/>
      <c r="E442" s="48"/>
      <c r="F442" s="48"/>
      <c r="G442" s="48"/>
      <c r="H442" s="48"/>
      <c r="I442" s="48"/>
      <c r="J442" s="48"/>
      <c r="K442" s="48"/>
      <c r="L442" s="48"/>
      <c r="M442" s="48"/>
      <c r="N442" s="48"/>
      <c r="O442" s="48"/>
      <c r="P442" s="48"/>
      <c r="Q442" s="48"/>
    </row>
    <row r="443" spans="2:17" s="46" customFormat="1" ht="15" customHeight="1">
      <c r="B443" s="47"/>
      <c r="C443" s="48"/>
      <c r="D443" s="48"/>
      <c r="E443" s="48"/>
      <c r="F443" s="48"/>
      <c r="G443" s="48"/>
      <c r="H443" s="48"/>
      <c r="I443" s="48"/>
      <c r="J443" s="48"/>
      <c r="K443" s="48"/>
      <c r="L443" s="48"/>
      <c r="M443" s="48"/>
      <c r="N443" s="48"/>
      <c r="O443" s="48"/>
      <c r="P443" s="48"/>
      <c r="Q443" s="48"/>
    </row>
    <row r="444" spans="2:17" s="46" customFormat="1" ht="15" customHeight="1">
      <c r="B444" s="47"/>
      <c r="C444" s="48"/>
      <c r="D444" s="48"/>
      <c r="E444" s="48"/>
      <c r="F444" s="48"/>
      <c r="G444" s="48"/>
      <c r="H444" s="48"/>
      <c r="I444" s="48"/>
      <c r="J444" s="48"/>
      <c r="K444" s="48"/>
      <c r="L444" s="48"/>
      <c r="M444" s="48"/>
      <c r="N444" s="48"/>
      <c r="O444" s="48"/>
      <c r="P444" s="48"/>
      <c r="Q444" s="48"/>
    </row>
    <row r="445" spans="2:17" s="46" customFormat="1" ht="15" customHeight="1">
      <c r="B445" s="47"/>
      <c r="C445" s="48"/>
      <c r="D445" s="48"/>
      <c r="E445" s="48"/>
      <c r="F445" s="48"/>
      <c r="G445" s="48"/>
      <c r="H445" s="48"/>
      <c r="I445" s="48"/>
      <c r="J445" s="48"/>
      <c r="K445" s="48"/>
      <c r="L445" s="48"/>
      <c r="M445" s="48"/>
      <c r="N445" s="48"/>
      <c r="O445" s="48"/>
      <c r="P445" s="48"/>
      <c r="Q445" s="48"/>
    </row>
    <row r="446" spans="2:17" s="46" customFormat="1" ht="15" customHeight="1">
      <c r="B446" s="47"/>
      <c r="C446" s="48"/>
      <c r="D446" s="48"/>
      <c r="E446" s="48"/>
      <c r="F446" s="48"/>
      <c r="G446" s="48"/>
      <c r="H446" s="48"/>
      <c r="I446" s="48"/>
      <c r="J446" s="48"/>
      <c r="K446" s="48"/>
      <c r="L446" s="48"/>
      <c r="M446" s="48"/>
      <c r="N446" s="48"/>
      <c r="O446" s="48"/>
      <c r="P446" s="48"/>
      <c r="Q446" s="48"/>
    </row>
    <row r="447" spans="2:17" s="46" customFormat="1" ht="15" customHeight="1">
      <c r="B447" s="47"/>
      <c r="C447" s="48"/>
      <c r="D447" s="48"/>
      <c r="E447" s="48"/>
      <c r="F447" s="48"/>
      <c r="G447" s="48"/>
      <c r="H447" s="48"/>
      <c r="I447" s="48"/>
      <c r="J447" s="48"/>
      <c r="K447" s="48"/>
      <c r="L447" s="48"/>
      <c r="M447" s="48"/>
      <c r="N447" s="48"/>
      <c r="O447" s="48"/>
      <c r="P447" s="48"/>
      <c r="Q447" s="48"/>
    </row>
    <row r="448" spans="2:17" s="46" customFormat="1" ht="15" customHeight="1">
      <c r="B448" s="47"/>
      <c r="C448" s="48"/>
      <c r="D448" s="48"/>
      <c r="E448" s="48"/>
      <c r="F448" s="48"/>
      <c r="G448" s="48"/>
      <c r="H448" s="48"/>
      <c r="I448" s="48"/>
      <c r="J448" s="48"/>
      <c r="K448" s="48"/>
      <c r="L448" s="48"/>
      <c r="M448" s="48"/>
      <c r="N448" s="48"/>
      <c r="O448" s="48"/>
      <c r="P448" s="48"/>
      <c r="Q448" s="48"/>
    </row>
    <row r="449" spans="2:17" s="46" customFormat="1" ht="15" customHeight="1">
      <c r="B449" s="47"/>
      <c r="C449" s="48"/>
      <c r="D449" s="48"/>
      <c r="E449" s="48"/>
      <c r="F449" s="48"/>
      <c r="G449" s="48"/>
      <c r="H449" s="48"/>
      <c r="I449" s="48"/>
      <c r="J449" s="48"/>
      <c r="K449" s="48"/>
      <c r="L449" s="48"/>
      <c r="M449" s="48"/>
      <c r="N449" s="48"/>
      <c r="O449" s="48"/>
      <c r="P449" s="48"/>
      <c r="Q449" s="48"/>
    </row>
    <row r="450" spans="2:17" s="46" customFormat="1" ht="15" customHeight="1">
      <c r="B450" s="47"/>
      <c r="C450" s="48"/>
      <c r="D450" s="48"/>
      <c r="E450" s="48"/>
      <c r="F450" s="48"/>
      <c r="G450" s="48"/>
      <c r="H450" s="48"/>
      <c r="I450" s="48"/>
      <c r="J450" s="48"/>
      <c r="K450" s="48"/>
      <c r="L450" s="48"/>
      <c r="M450" s="48"/>
      <c r="N450" s="48"/>
      <c r="O450" s="48"/>
      <c r="P450" s="48"/>
      <c r="Q450" s="48"/>
    </row>
    <row r="451" spans="2:17" s="46" customFormat="1" ht="15" customHeight="1">
      <c r="B451" s="47"/>
      <c r="C451" s="48"/>
      <c r="D451" s="48"/>
      <c r="E451" s="48"/>
      <c r="F451" s="48"/>
      <c r="G451" s="48"/>
      <c r="H451" s="48"/>
      <c r="I451" s="48"/>
      <c r="J451" s="48"/>
      <c r="K451" s="48"/>
      <c r="L451" s="48"/>
      <c r="M451" s="48"/>
      <c r="N451" s="48"/>
      <c r="O451" s="48"/>
      <c r="P451" s="48"/>
      <c r="Q451" s="48"/>
    </row>
    <row r="452" spans="2:17" s="46" customFormat="1" ht="15" customHeight="1">
      <c r="B452" s="47"/>
      <c r="C452" s="48"/>
      <c r="D452" s="48"/>
      <c r="E452" s="48"/>
      <c r="F452" s="48"/>
      <c r="G452" s="48"/>
      <c r="H452" s="48"/>
      <c r="I452" s="48"/>
      <c r="J452" s="48"/>
      <c r="K452" s="48"/>
      <c r="L452" s="48"/>
      <c r="M452" s="48"/>
      <c r="N452" s="48"/>
      <c r="O452" s="48"/>
      <c r="P452" s="48"/>
      <c r="Q452" s="48"/>
    </row>
    <row r="453" spans="2:17" s="46" customFormat="1" ht="15" customHeight="1">
      <c r="B453" s="47"/>
      <c r="C453" s="48"/>
      <c r="D453" s="48"/>
      <c r="E453" s="48"/>
      <c r="F453" s="48"/>
      <c r="G453" s="48"/>
      <c r="H453" s="48"/>
      <c r="I453" s="48"/>
      <c r="J453" s="48"/>
      <c r="K453" s="48"/>
      <c r="L453" s="48"/>
      <c r="M453" s="48"/>
      <c r="N453" s="48"/>
      <c r="O453" s="48"/>
      <c r="P453" s="48"/>
      <c r="Q453" s="48"/>
    </row>
    <row r="454" spans="2:17" s="46" customFormat="1" ht="15" customHeight="1">
      <c r="B454" s="47"/>
      <c r="C454" s="48"/>
      <c r="D454" s="48"/>
      <c r="E454" s="48"/>
      <c r="F454" s="48"/>
      <c r="G454" s="48"/>
      <c r="H454" s="48"/>
      <c r="I454" s="48"/>
      <c r="J454" s="48"/>
      <c r="K454" s="48"/>
      <c r="L454" s="48"/>
      <c r="M454" s="48"/>
      <c r="N454" s="48"/>
      <c r="O454" s="48"/>
      <c r="P454" s="48"/>
      <c r="Q454" s="48"/>
    </row>
    <row r="455" spans="2:17" s="46" customFormat="1" ht="15" customHeight="1">
      <c r="B455" s="47"/>
      <c r="C455" s="48"/>
      <c r="D455" s="48"/>
      <c r="E455" s="48"/>
      <c r="F455" s="48"/>
      <c r="G455" s="48"/>
      <c r="H455" s="48"/>
      <c r="I455" s="48"/>
      <c r="J455" s="48"/>
      <c r="K455" s="48"/>
      <c r="L455" s="48"/>
      <c r="M455" s="48"/>
      <c r="N455" s="48"/>
      <c r="O455" s="48"/>
      <c r="P455" s="48"/>
      <c r="Q455" s="48"/>
    </row>
    <row r="456" spans="2:17" s="46" customFormat="1" ht="15" customHeight="1">
      <c r="B456" s="47"/>
      <c r="C456" s="48"/>
      <c r="D456" s="48"/>
      <c r="E456" s="48"/>
      <c r="F456" s="48"/>
      <c r="G456" s="48"/>
      <c r="H456" s="48"/>
      <c r="I456" s="48"/>
      <c r="J456" s="48"/>
      <c r="K456" s="48"/>
      <c r="L456" s="48"/>
      <c r="M456" s="48"/>
      <c r="N456" s="48"/>
      <c r="O456" s="48"/>
      <c r="P456" s="48"/>
      <c r="Q456" s="48"/>
    </row>
    <row r="457" spans="2:17" s="46" customFormat="1" ht="15" customHeight="1">
      <c r="B457" s="47"/>
      <c r="C457" s="48"/>
      <c r="D457" s="48"/>
      <c r="E457" s="48"/>
      <c r="F457" s="48"/>
      <c r="G457" s="48"/>
      <c r="H457" s="48"/>
      <c r="I457" s="48"/>
      <c r="J457" s="48"/>
      <c r="K457" s="48"/>
      <c r="L457" s="48"/>
      <c r="M457" s="48"/>
      <c r="N457" s="48"/>
      <c r="O457" s="48"/>
      <c r="P457" s="48"/>
      <c r="Q457" s="48"/>
    </row>
    <row r="458" spans="2:17" s="46" customFormat="1" ht="15" customHeight="1">
      <c r="B458" s="47"/>
      <c r="C458" s="48"/>
      <c r="D458" s="48"/>
      <c r="E458" s="48"/>
      <c r="F458" s="48"/>
      <c r="G458" s="48"/>
      <c r="H458" s="48"/>
      <c r="I458" s="48"/>
      <c r="J458" s="48"/>
      <c r="K458" s="48"/>
      <c r="L458" s="48"/>
      <c r="M458" s="48"/>
      <c r="N458" s="48"/>
      <c r="O458" s="48"/>
      <c r="P458" s="48"/>
      <c r="Q458" s="48"/>
    </row>
    <row r="459" spans="2:17" s="46" customFormat="1" ht="15" customHeight="1">
      <c r="B459" s="47"/>
      <c r="C459" s="48"/>
      <c r="D459" s="48"/>
      <c r="E459" s="48"/>
      <c r="F459" s="48"/>
      <c r="G459" s="48"/>
      <c r="H459" s="48"/>
      <c r="I459" s="48"/>
      <c r="J459" s="48"/>
      <c r="K459" s="48"/>
      <c r="L459" s="48"/>
      <c r="M459" s="48"/>
      <c r="N459" s="48"/>
      <c r="O459" s="48"/>
      <c r="P459" s="48"/>
      <c r="Q459" s="48"/>
    </row>
    <row r="460" spans="2:17" s="46" customFormat="1" ht="15" customHeight="1">
      <c r="B460" s="47"/>
      <c r="C460" s="48"/>
      <c r="D460" s="48"/>
      <c r="E460" s="48"/>
      <c r="F460" s="48"/>
      <c r="G460" s="48"/>
      <c r="H460" s="48"/>
      <c r="I460" s="48"/>
      <c r="J460" s="48"/>
      <c r="K460" s="48"/>
      <c r="L460" s="48"/>
      <c r="M460" s="48"/>
      <c r="N460" s="48"/>
      <c r="O460" s="48"/>
      <c r="P460" s="48"/>
      <c r="Q460" s="48"/>
    </row>
    <row r="461" spans="2:17" s="46" customFormat="1" ht="15" customHeight="1">
      <c r="B461" s="47"/>
      <c r="C461" s="48"/>
      <c r="D461" s="48"/>
      <c r="E461" s="48"/>
      <c r="F461" s="48"/>
      <c r="G461" s="48"/>
      <c r="H461" s="48"/>
      <c r="I461" s="48"/>
      <c r="J461" s="48"/>
      <c r="K461" s="48"/>
      <c r="L461" s="48"/>
      <c r="M461" s="48"/>
      <c r="N461" s="48"/>
      <c r="O461" s="48"/>
      <c r="P461" s="48"/>
      <c r="Q461" s="48"/>
    </row>
    <row r="462" spans="2:17" s="46" customFormat="1" ht="15" customHeight="1">
      <c r="B462" s="47"/>
      <c r="C462" s="48"/>
      <c r="D462" s="48"/>
      <c r="E462" s="48"/>
      <c r="F462" s="48"/>
      <c r="G462" s="48"/>
      <c r="H462" s="48"/>
      <c r="I462" s="48"/>
      <c r="J462" s="48"/>
      <c r="K462" s="48"/>
      <c r="L462" s="48"/>
      <c r="M462" s="48"/>
      <c r="N462" s="48"/>
      <c r="O462" s="48"/>
      <c r="P462" s="48"/>
      <c r="Q462" s="48"/>
    </row>
    <row r="463" spans="2:17" s="46" customFormat="1" ht="15" customHeight="1">
      <c r="B463" s="47"/>
      <c r="C463" s="48"/>
      <c r="D463" s="48"/>
      <c r="E463" s="48"/>
      <c r="F463" s="48"/>
      <c r="G463" s="48"/>
      <c r="H463" s="48"/>
      <c r="I463" s="48"/>
      <c r="J463" s="48"/>
      <c r="K463" s="48"/>
      <c r="L463" s="48"/>
      <c r="M463" s="48"/>
      <c r="N463" s="48"/>
      <c r="O463" s="48"/>
      <c r="P463" s="48"/>
      <c r="Q463" s="48"/>
    </row>
    <row r="464" spans="2:17" s="46" customFormat="1" ht="15" customHeight="1">
      <c r="B464" s="47"/>
      <c r="C464" s="48"/>
      <c r="D464" s="48"/>
      <c r="E464" s="48"/>
      <c r="F464" s="48"/>
      <c r="G464" s="48"/>
      <c r="H464" s="48"/>
      <c r="I464" s="48"/>
      <c r="J464" s="48"/>
      <c r="K464" s="48"/>
      <c r="L464" s="48"/>
      <c r="M464" s="48"/>
      <c r="N464" s="48"/>
      <c r="O464" s="48"/>
      <c r="P464" s="48"/>
      <c r="Q464" s="48"/>
    </row>
    <row r="465" spans="2:17" s="46" customFormat="1" ht="15" customHeight="1">
      <c r="B465" s="47"/>
      <c r="C465" s="48"/>
      <c r="D465" s="48"/>
      <c r="E465" s="48"/>
      <c r="F465" s="48"/>
      <c r="G465" s="48"/>
      <c r="H465" s="48"/>
      <c r="I465" s="48"/>
      <c r="J465" s="48"/>
      <c r="K465" s="48"/>
      <c r="L465" s="48"/>
      <c r="M465" s="48"/>
      <c r="N465" s="48"/>
      <c r="O465" s="48"/>
      <c r="P465" s="48"/>
      <c r="Q465" s="48"/>
    </row>
    <row r="466" spans="2:17" s="46" customFormat="1" ht="15" customHeight="1">
      <c r="B466" s="47"/>
      <c r="C466" s="48"/>
      <c r="D466" s="48"/>
      <c r="E466" s="48"/>
      <c r="F466" s="48"/>
      <c r="G466" s="48"/>
      <c r="H466" s="48"/>
      <c r="I466" s="48"/>
      <c r="J466" s="48"/>
      <c r="K466" s="48"/>
      <c r="L466" s="48"/>
      <c r="M466" s="48"/>
      <c r="N466" s="48"/>
      <c r="O466" s="48"/>
      <c r="P466" s="48"/>
      <c r="Q466" s="48"/>
    </row>
    <row r="467" spans="2:17" s="46" customFormat="1" ht="15" customHeight="1">
      <c r="B467" s="47"/>
      <c r="C467" s="48"/>
      <c r="D467" s="48"/>
      <c r="E467" s="48"/>
      <c r="F467" s="48"/>
      <c r="G467" s="48"/>
      <c r="H467" s="48"/>
      <c r="I467" s="48"/>
      <c r="J467" s="48"/>
      <c r="K467" s="48"/>
      <c r="L467" s="48"/>
      <c r="M467" s="48"/>
      <c r="N467" s="48"/>
      <c r="O467" s="48"/>
      <c r="P467" s="48"/>
      <c r="Q467" s="48"/>
    </row>
    <row r="468" spans="2:17" s="46" customFormat="1" ht="15" customHeight="1">
      <c r="B468" s="47"/>
      <c r="C468" s="48"/>
      <c r="D468" s="48"/>
      <c r="E468" s="48"/>
      <c r="F468" s="48"/>
      <c r="G468" s="48"/>
      <c r="H468" s="48"/>
      <c r="I468" s="48"/>
      <c r="J468" s="48"/>
      <c r="K468" s="48"/>
      <c r="L468" s="48"/>
      <c r="M468" s="48"/>
      <c r="N468" s="48"/>
      <c r="O468" s="48"/>
      <c r="P468" s="48"/>
      <c r="Q468" s="48"/>
    </row>
    <row r="469" spans="2:17" s="46" customFormat="1" ht="15" customHeight="1">
      <c r="B469" s="47"/>
      <c r="C469" s="48"/>
      <c r="D469" s="48"/>
      <c r="E469" s="48"/>
      <c r="F469" s="48"/>
      <c r="G469" s="48"/>
      <c r="H469" s="48"/>
      <c r="I469" s="48"/>
      <c r="J469" s="48"/>
      <c r="K469" s="48"/>
      <c r="L469" s="48"/>
      <c r="M469" s="48"/>
      <c r="N469" s="48"/>
      <c r="O469" s="48"/>
      <c r="P469" s="48"/>
      <c r="Q469" s="48"/>
    </row>
    <row r="470" spans="2:17" s="46" customFormat="1" ht="15" customHeight="1">
      <c r="B470" s="47"/>
      <c r="C470" s="48"/>
      <c r="D470" s="48"/>
      <c r="E470" s="48"/>
      <c r="F470" s="48"/>
      <c r="G470" s="48"/>
      <c r="H470" s="48"/>
      <c r="I470" s="48"/>
      <c r="J470" s="48"/>
      <c r="K470" s="48"/>
      <c r="L470" s="48"/>
      <c r="M470" s="48"/>
      <c r="N470" s="48"/>
      <c r="O470" s="48"/>
      <c r="P470" s="48"/>
      <c r="Q470" s="48"/>
    </row>
    <row r="471" spans="2:17" s="46" customFormat="1" ht="15" customHeight="1">
      <c r="B471" s="47"/>
      <c r="C471" s="48"/>
      <c r="D471" s="48"/>
      <c r="E471" s="48"/>
      <c r="F471" s="48"/>
      <c r="G471" s="48"/>
      <c r="H471" s="48"/>
      <c r="I471" s="48"/>
      <c r="J471" s="48"/>
      <c r="K471" s="48"/>
      <c r="L471" s="48"/>
      <c r="M471" s="48"/>
      <c r="N471" s="48"/>
      <c r="O471" s="48"/>
      <c r="P471" s="48"/>
      <c r="Q471" s="48"/>
    </row>
    <row r="472" spans="2:17" s="46" customFormat="1" ht="15" customHeight="1">
      <c r="B472" s="47"/>
      <c r="C472" s="48"/>
      <c r="D472" s="48"/>
      <c r="E472" s="48"/>
      <c r="F472" s="48"/>
      <c r="G472" s="48"/>
      <c r="H472" s="48"/>
      <c r="I472" s="48"/>
      <c r="J472" s="48"/>
      <c r="K472" s="48"/>
      <c r="L472" s="48"/>
      <c r="M472" s="48"/>
      <c r="N472" s="48"/>
      <c r="O472" s="48"/>
      <c r="P472" s="48"/>
      <c r="Q472" s="48"/>
    </row>
    <row r="473" spans="2:17" s="46" customFormat="1" ht="15" customHeight="1">
      <c r="B473" s="47"/>
      <c r="C473" s="48"/>
      <c r="D473" s="48"/>
      <c r="E473" s="48"/>
      <c r="F473" s="48"/>
      <c r="G473" s="48"/>
      <c r="H473" s="48"/>
      <c r="I473" s="48"/>
      <c r="J473" s="48"/>
      <c r="K473" s="48"/>
      <c r="L473" s="48"/>
      <c r="M473" s="48"/>
      <c r="N473" s="48"/>
      <c r="O473" s="48"/>
      <c r="P473" s="48"/>
      <c r="Q473" s="48"/>
    </row>
    <row r="474" spans="2:17" s="46" customFormat="1" ht="15" customHeight="1">
      <c r="B474" s="47"/>
      <c r="C474" s="48"/>
      <c r="D474" s="48"/>
      <c r="E474" s="48"/>
      <c r="F474" s="48"/>
      <c r="G474" s="48"/>
      <c r="H474" s="48"/>
      <c r="I474" s="48"/>
      <c r="J474" s="48"/>
      <c r="K474" s="48"/>
      <c r="L474" s="48"/>
      <c r="M474" s="48"/>
      <c r="N474" s="48"/>
      <c r="O474" s="48"/>
      <c r="P474" s="48"/>
      <c r="Q474" s="48"/>
    </row>
    <row r="475" spans="2:17" s="46" customFormat="1" ht="15" customHeight="1">
      <c r="B475" s="47"/>
      <c r="C475" s="48"/>
      <c r="D475" s="48"/>
      <c r="E475" s="48"/>
      <c r="F475" s="48"/>
      <c r="G475" s="48"/>
      <c r="H475" s="48"/>
      <c r="I475" s="48"/>
      <c r="J475" s="48"/>
      <c r="K475" s="48"/>
      <c r="L475" s="48"/>
      <c r="M475" s="48"/>
      <c r="N475" s="48"/>
      <c r="O475" s="48"/>
      <c r="P475" s="48"/>
      <c r="Q475" s="48"/>
    </row>
    <row r="476" spans="2:17" s="46" customFormat="1" ht="15" customHeight="1">
      <c r="B476" s="47"/>
      <c r="C476" s="48"/>
      <c r="D476" s="48"/>
      <c r="E476" s="48"/>
      <c r="F476" s="48"/>
      <c r="G476" s="48"/>
      <c r="H476" s="48"/>
      <c r="I476" s="48"/>
      <c r="J476" s="48"/>
      <c r="K476" s="48"/>
      <c r="L476" s="48"/>
      <c r="M476" s="48"/>
      <c r="N476" s="48"/>
      <c r="O476" s="48"/>
      <c r="P476" s="48"/>
      <c r="Q476" s="48"/>
    </row>
    <row r="477" spans="2:17" s="46" customFormat="1" ht="15" customHeight="1">
      <c r="B477" s="47"/>
      <c r="C477" s="48"/>
      <c r="D477" s="48"/>
      <c r="E477" s="48"/>
      <c r="F477" s="48"/>
      <c r="G477" s="48"/>
      <c r="H477" s="48"/>
      <c r="I477" s="48"/>
      <c r="J477" s="48"/>
      <c r="K477" s="48"/>
      <c r="L477" s="48"/>
      <c r="M477" s="48"/>
      <c r="N477" s="48"/>
      <c r="O477" s="48"/>
      <c r="P477" s="48"/>
      <c r="Q477" s="48"/>
    </row>
    <row r="478" spans="2:17" s="46" customFormat="1" ht="15" customHeight="1">
      <c r="B478" s="47"/>
      <c r="C478" s="48"/>
      <c r="D478" s="48"/>
      <c r="E478" s="48"/>
      <c r="F478" s="48"/>
      <c r="G478" s="48"/>
      <c r="H478" s="48"/>
      <c r="I478" s="48"/>
      <c r="J478" s="48"/>
      <c r="K478" s="48"/>
      <c r="L478" s="48"/>
      <c r="M478" s="48"/>
      <c r="N478" s="48"/>
      <c r="O478" s="48"/>
      <c r="P478" s="48"/>
      <c r="Q478" s="48"/>
    </row>
    <row r="479" spans="2:17" s="46" customFormat="1" ht="15" customHeight="1">
      <c r="B479" s="47"/>
      <c r="C479" s="48"/>
      <c r="D479" s="48"/>
      <c r="E479" s="48"/>
      <c r="F479" s="48"/>
      <c r="G479" s="48"/>
      <c r="H479" s="48"/>
      <c r="I479" s="48"/>
      <c r="J479" s="48"/>
      <c r="K479" s="48"/>
      <c r="L479" s="48"/>
      <c r="M479" s="48"/>
      <c r="N479" s="48"/>
      <c r="O479" s="48"/>
      <c r="P479" s="48"/>
      <c r="Q479" s="48"/>
    </row>
    <row r="480" spans="2:17" s="46" customFormat="1" ht="15" customHeight="1">
      <c r="B480" s="47"/>
      <c r="C480" s="48"/>
      <c r="D480" s="48"/>
      <c r="E480" s="48"/>
      <c r="F480" s="48"/>
      <c r="G480" s="48"/>
      <c r="H480" s="48"/>
      <c r="I480" s="48"/>
      <c r="J480" s="48"/>
      <c r="K480" s="48"/>
      <c r="L480" s="48"/>
      <c r="M480" s="48"/>
      <c r="N480" s="48"/>
      <c r="O480" s="48"/>
      <c r="P480" s="48"/>
      <c r="Q480" s="48"/>
    </row>
    <row r="481" spans="2:17" s="46" customFormat="1" ht="15" customHeight="1">
      <c r="B481" s="47"/>
      <c r="C481" s="48"/>
      <c r="D481" s="48"/>
      <c r="E481" s="48"/>
      <c r="F481" s="48"/>
      <c r="G481" s="48"/>
      <c r="H481" s="48"/>
      <c r="I481" s="48"/>
      <c r="J481" s="48"/>
      <c r="K481" s="48"/>
      <c r="L481" s="48"/>
      <c r="M481" s="48"/>
      <c r="N481" s="48"/>
      <c r="O481" s="48"/>
      <c r="P481" s="48"/>
      <c r="Q481" s="48"/>
    </row>
    <row r="482" spans="2:17" s="46" customFormat="1" ht="15" customHeight="1">
      <c r="B482" s="47"/>
      <c r="C482" s="48"/>
      <c r="D482" s="48"/>
      <c r="E482" s="48"/>
      <c r="F482" s="48"/>
      <c r="G482" s="48"/>
      <c r="H482" s="48"/>
      <c r="I482" s="48"/>
      <c r="J482" s="48"/>
      <c r="K482" s="48"/>
      <c r="L482" s="48"/>
      <c r="M482" s="48"/>
      <c r="N482" s="48"/>
      <c r="O482" s="48"/>
      <c r="P482" s="48"/>
      <c r="Q482" s="48"/>
    </row>
    <row r="483" spans="2:17" s="46" customFormat="1" ht="15" customHeight="1">
      <c r="B483" s="47"/>
      <c r="C483" s="48"/>
      <c r="D483" s="48"/>
      <c r="E483" s="48"/>
      <c r="F483" s="48"/>
      <c r="G483" s="48"/>
      <c r="H483" s="48"/>
      <c r="I483" s="48"/>
      <c r="J483" s="48"/>
      <c r="K483" s="48"/>
      <c r="L483" s="48"/>
      <c r="M483" s="48"/>
      <c r="N483" s="48"/>
      <c r="O483" s="48"/>
      <c r="P483" s="48"/>
      <c r="Q483" s="48"/>
    </row>
    <row r="484" spans="2:17" s="46" customFormat="1" ht="15" customHeight="1">
      <c r="B484" s="47"/>
      <c r="C484" s="48"/>
      <c r="D484" s="48"/>
      <c r="E484" s="48"/>
      <c r="F484" s="48"/>
      <c r="G484" s="48"/>
      <c r="H484" s="48"/>
      <c r="I484" s="48"/>
      <c r="J484" s="48"/>
      <c r="K484" s="48"/>
      <c r="L484" s="48"/>
      <c r="M484" s="48"/>
      <c r="N484" s="48"/>
      <c r="O484" s="48"/>
      <c r="P484" s="48"/>
      <c r="Q484" s="48"/>
    </row>
    <row r="485" spans="2:17" s="46" customFormat="1" ht="15" customHeight="1">
      <c r="B485" s="47"/>
      <c r="C485" s="48"/>
      <c r="D485" s="48"/>
      <c r="E485" s="48"/>
      <c r="F485" s="48"/>
      <c r="G485" s="48"/>
      <c r="H485" s="48"/>
      <c r="I485" s="48"/>
      <c r="J485" s="48"/>
      <c r="K485" s="48"/>
      <c r="L485" s="48"/>
      <c r="M485" s="48"/>
      <c r="N485" s="48"/>
      <c r="O485" s="48"/>
      <c r="P485" s="48"/>
      <c r="Q485" s="48"/>
    </row>
    <row r="486" spans="2:17" s="46" customFormat="1" ht="15" customHeight="1">
      <c r="B486" s="47"/>
      <c r="C486" s="48"/>
      <c r="D486" s="48"/>
      <c r="E486" s="48"/>
      <c r="F486" s="48"/>
      <c r="G486" s="48"/>
      <c r="H486" s="48"/>
      <c r="I486" s="48"/>
      <c r="J486" s="48"/>
      <c r="K486" s="48"/>
      <c r="L486" s="48"/>
      <c r="M486" s="48"/>
      <c r="N486" s="48"/>
      <c r="O486" s="48"/>
      <c r="P486" s="48"/>
      <c r="Q486" s="48"/>
    </row>
    <row r="487" spans="2:17" s="46" customFormat="1" ht="15" customHeight="1">
      <c r="B487" s="47"/>
      <c r="C487" s="48"/>
      <c r="D487" s="48"/>
      <c r="E487" s="48"/>
      <c r="F487" s="48"/>
      <c r="G487" s="48"/>
      <c r="H487" s="48"/>
      <c r="I487" s="48"/>
      <c r="J487" s="48"/>
      <c r="K487" s="48"/>
      <c r="L487" s="48"/>
      <c r="M487" s="48"/>
      <c r="N487" s="48"/>
      <c r="O487" s="48"/>
      <c r="P487" s="48"/>
      <c r="Q487" s="48"/>
    </row>
    <row r="488" spans="2:17" s="46" customFormat="1" ht="15" customHeight="1">
      <c r="B488" s="47"/>
      <c r="C488" s="48"/>
      <c r="D488" s="48"/>
      <c r="E488" s="48"/>
      <c r="F488" s="48"/>
      <c r="G488" s="48"/>
      <c r="H488" s="48"/>
      <c r="I488" s="48"/>
      <c r="J488" s="48"/>
      <c r="K488" s="48"/>
      <c r="L488" s="48"/>
      <c r="M488" s="48"/>
      <c r="N488" s="48"/>
      <c r="O488" s="48"/>
      <c r="P488" s="48"/>
      <c r="Q488" s="48"/>
    </row>
    <row r="489" spans="2:17" s="46" customFormat="1" ht="15" customHeight="1">
      <c r="B489" s="47"/>
      <c r="C489" s="48"/>
      <c r="D489" s="48"/>
      <c r="E489" s="48"/>
      <c r="F489" s="48"/>
      <c r="G489" s="48"/>
      <c r="H489" s="48"/>
      <c r="I489" s="48"/>
      <c r="J489" s="48"/>
      <c r="K489" s="48"/>
      <c r="L489" s="48"/>
      <c r="M489" s="48"/>
      <c r="N489" s="48"/>
      <c r="O489" s="48"/>
      <c r="P489" s="48"/>
      <c r="Q489" s="48"/>
    </row>
    <row r="490" spans="2:17" s="46" customFormat="1" ht="15" customHeight="1">
      <c r="B490" s="47"/>
      <c r="C490" s="48"/>
      <c r="D490" s="48"/>
      <c r="E490" s="48"/>
      <c r="F490" s="48"/>
      <c r="G490" s="48"/>
      <c r="H490" s="48"/>
      <c r="I490" s="48"/>
      <c r="J490" s="48"/>
      <c r="K490" s="48"/>
      <c r="L490" s="48"/>
      <c r="M490" s="48"/>
      <c r="N490" s="48"/>
      <c r="O490" s="48"/>
      <c r="P490" s="48"/>
      <c r="Q490" s="48"/>
    </row>
    <row r="491" spans="2:17" s="46" customFormat="1" ht="15" customHeight="1">
      <c r="B491" s="47"/>
      <c r="C491" s="48"/>
      <c r="D491" s="48"/>
      <c r="E491" s="48"/>
      <c r="F491" s="48"/>
      <c r="G491" s="48"/>
      <c r="H491" s="48"/>
      <c r="I491" s="48"/>
      <c r="J491" s="48"/>
      <c r="K491" s="48"/>
      <c r="L491" s="48"/>
      <c r="M491" s="48"/>
      <c r="N491" s="48"/>
      <c r="O491" s="48"/>
      <c r="P491" s="48"/>
      <c r="Q491" s="48"/>
    </row>
    <row r="492" spans="2:17" s="46" customFormat="1" ht="15" customHeight="1">
      <c r="B492" s="47"/>
      <c r="C492" s="48"/>
      <c r="D492" s="48"/>
      <c r="E492" s="48"/>
      <c r="F492" s="48"/>
      <c r="G492" s="48"/>
      <c r="H492" s="48"/>
      <c r="I492" s="48"/>
      <c r="J492" s="48"/>
      <c r="K492" s="48"/>
      <c r="L492" s="48"/>
      <c r="M492" s="48"/>
      <c r="N492" s="48"/>
      <c r="O492" s="48"/>
      <c r="P492" s="48"/>
      <c r="Q492" s="48"/>
    </row>
    <row r="493" spans="2:17" s="46" customFormat="1" ht="15" customHeight="1">
      <c r="B493" s="47"/>
      <c r="C493" s="48"/>
      <c r="D493" s="48"/>
      <c r="E493" s="48"/>
      <c r="F493" s="48"/>
      <c r="G493" s="48"/>
      <c r="H493" s="48"/>
      <c r="I493" s="48"/>
      <c r="J493" s="48"/>
      <c r="K493" s="48"/>
      <c r="L493" s="48"/>
      <c r="M493" s="48"/>
      <c r="N493" s="48"/>
      <c r="O493" s="48"/>
      <c r="P493" s="48"/>
      <c r="Q493" s="48"/>
    </row>
    <row r="494" spans="2:17" s="46" customFormat="1" ht="15" customHeight="1">
      <c r="B494" s="47"/>
      <c r="C494" s="48"/>
      <c r="D494" s="48"/>
      <c r="E494" s="48"/>
      <c r="F494" s="48"/>
      <c r="G494" s="48"/>
      <c r="H494" s="48"/>
      <c r="I494" s="48"/>
      <c r="J494" s="48"/>
      <c r="K494" s="48"/>
      <c r="L494" s="48"/>
      <c r="M494" s="48"/>
      <c r="N494" s="48"/>
      <c r="O494" s="48"/>
      <c r="P494" s="48"/>
      <c r="Q494" s="48"/>
    </row>
    <row r="495" spans="2:17" s="46" customFormat="1" ht="15" customHeight="1">
      <c r="B495" s="47"/>
      <c r="C495" s="48"/>
      <c r="D495" s="48"/>
      <c r="E495" s="48"/>
      <c r="F495" s="48"/>
      <c r="G495" s="48"/>
      <c r="H495" s="48"/>
      <c r="I495" s="48"/>
      <c r="J495" s="48"/>
      <c r="K495" s="48"/>
      <c r="L495" s="48"/>
      <c r="M495" s="48"/>
      <c r="N495" s="48"/>
      <c r="O495" s="48"/>
      <c r="P495" s="48"/>
      <c r="Q495" s="48"/>
    </row>
    <row r="496" spans="2:17" s="46" customFormat="1" ht="15" customHeight="1">
      <c r="B496" s="47"/>
      <c r="C496" s="48"/>
      <c r="D496" s="48"/>
      <c r="E496" s="48"/>
      <c r="F496" s="48"/>
      <c r="G496" s="48"/>
      <c r="H496" s="48"/>
      <c r="I496" s="48"/>
      <c r="J496" s="48"/>
      <c r="K496" s="48"/>
      <c r="L496" s="48"/>
      <c r="M496" s="48"/>
      <c r="N496" s="48"/>
      <c r="O496" s="48"/>
      <c r="P496" s="48"/>
      <c r="Q496" s="48"/>
    </row>
    <row r="497" spans="2:17" s="46" customFormat="1" ht="15" customHeight="1">
      <c r="B497" s="47"/>
      <c r="C497" s="48"/>
      <c r="D497" s="48"/>
      <c r="E497" s="48"/>
      <c r="F497" s="48"/>
      <c r="G497" s="48"/>
      <c r="H497" s="48"/>
      <c r="I497" s="48"/>
      <c r="J497" s="48"/>
      <c r="K497" s="48"/>
      <c r="L497" s="48"/>
      <c r="M497" s="48"/>
      <c r="N497" s="48"/>
      <c r="O497" s="48"/>
      <c r="P497" s="48"/>
      <c r="Q497" s="48"/>
    </row>
    <row r="498" spans="2:17" s="46" customFormat="1" ht="15" customHeight="1">
      <c r="B498" s="47"/>
      <c r="C498" s="48"/>
      <c r="D498" s="48"/>
      <c r="E498" s="48"/>
      <c r="F498" s="48"/>
      <c r="G498" s="48"/>
      <c r="H498" s="48"/>
      <c r="I498" s="48"/>
      <c r="J498" s="48"/>
      <c r="K498" s="48"/>
      <c r="L498" s="48"/>
      <c r="M498" s="48"/>
      <c r="N498" s="48"/>
      <c r="O498" s="48"/>
      <c r="P498" s="48"/>
      <c r="Q498" s="48"/>
    </row>
    <row r="499" spans="2:17" s="46" customFormat="1" ht="15" customHeight="1">
      <c r="B499" s="47"/>
      <c r="C499" s="48"/>
      <c r="D499" s="48"/>
      <c r="E499" s="48"/>
      <c r="F499" s="48"/>
      <c r="G499" s="48"/>
      <c r="H499" s="48"/>
      <c r="I499" s="48"/>
      <c r="J499" s="48"/>
      <c r="K499" s="48"/>
      <c r="L499" s="48"/>
      <c r="M499" s="48"/>
      <c r="N499" s="48"/>
      <c r="O499" s="48"/>
      <c r="P499" s="48"/>
      <c r="Q499" s="48"/>
    </row>
    <row r="500" spans="2:17" s="46" customFormat="1" ht="15" customHeight="1">
      <c r="B500" s="47"/>
      <c r="C500" s="48"/>
      <c r="D500" s="48"/>
      <c r="E500" s="48"/>
      <c r="F500" s="48"/>
      <c r="G500" s="48"/>
      <c r="H500" s="48"/>
      <c r="I500" s="48"/>
      <c r="J500" s="48"/>
      <c r="K500" s="48"/>
      <c r="L500" s="48"/>
      <c r="M500" s="48"/>
      <c r="N500" s="48"/>
      <c r="O500" s="48"/>
      <c r="P500" s="48"/>
      <c r="Q500" s="48"/>
    </row>
    <row r="501" spans="2:17" s="46" customFormat="1" ht="15" customHeight="1">
      <c r="B501" s="47"/>
      <c r="C501" s="48"/>
      <c r="D501" s="48"/>
      <c r="E501" s="48"/>
      <c r="F501" s="48"/>
      <c r="G501" s="48"/>
      <c r="H501" s="48"/>
      <c r="I501" s="48"/>
      <c r="J501" s="48"/>
      <c r="K501" s="48"/>
      <c r="L501" s="48"/>
      <c r="M501" s="48"/>
      <c r="N501" s="48"/>
      <c r="O501" s="48"/>
      <c r="P501" s="48"/>
      <c r="Q501" s="48"/>
    </row>
    <row r="502" spans="2:17" s="46" customFormat="1" ht="15" customHeight="1">
      <c r="B502" s="47"/>
      <c r="C502" s="48"/>
      <c r="D502" s="48"/>
      <c r="E502" s="48"/>
      <c r="F502" s="48"/>
      <c r="G502" s="48"/>
      <c r="H502" s="48"/>
      <c r="I502" s="48"/>
      <c r="J502" s="48"/>
      <c r="K502" s="48"/>
      <c r="L502" s="48"/>
      <c r="M502" s="48"/>
      <c r="N502" s="48"/>
      <c r="O502" s="48"/>
      <c r="P502" s="48"/>
      <c r="Q502" s="48"/>
    </row>
    <row r="503" spans="2:17" s="46" customFormat="1" ht="15" customHeight="1">
      <c r="B503" s="47"/>
      <c r="C503" s="48"/>
      <c r="D503" s="48"/>
      <c r="E503" s="48"/>
      <c r="F503" s="48"/>
      <c r="G503" s="48"/>
      <c r="H503" s="48"/>
      <c r="I503" s="48"/>
      <c r="J503" s="48"/>
      <c r="K503" s="48"/>
      <c r="L503" s="48"/>
      <c r="M503" s="48"/>
      <c r="N503" s="48"/>
      <c r="O503" s="48"/>
      <c r="P503" s="48"/>
      <c r="Q503" s="48"/>
    </row>
    <row r="504" spans="2:17" s="46" customFormat="1" ht="15" customHeight="1">
      <c r="B504" s="47"/>
      <c r="C504" s="48"/>
      <c r="D504" s="48"/>
      <c r="E504" s="48"/>
      <c r="F504" s="48"/>
      <c r="G504" s="48"/>
      <c r="H504" s="48"/>
      <c r="I504" s="48"/>
      <c r="J504" s="48"/>
      <c r="K504" s="48"/>
      <c r="L504" s="48"/>
      <c r="M504" s="48"/>
      <c r="N504" s="48"/>
      <c r="O504" s="48"/>
      <c r="P504" s="48"/>
      <c r="Q504" s="48"/>
    </row>
    <row r="505" spans="2:17" s="46" customFormat="1" ht="15" customHeight="1">
      <c r="B505" s="47"/>
      <c r="C505" s="48"/>
      <c r="D505" s="48"/>
      <c r="E505" s="48"/>
      <c r="F505" s="48"/>
      <c r="G505" s="48"/>
      <c r="H505" s="48"/>
      <c r="I505" s="48"/>
      <c r="J505" s="48"/>
      <c r="K505" s="48"/>
      <c r="L505" s="48"/>
      <c r="M505" s="48"/>
      <c r="N505" s="48"/>
      <c r="O505" s="48"/>
      <c r="P505" s="48"/>
      <c r="Q505" s="48"/>
    </row>
    <row r="506" spans="2:17" s="46" customFormat="1" ht="15" customHeight="1">
      <c r="B506" s="47"/>
      <c r="C506" s="48"/>
      <c r="D506" s="48"/>
      <c r="E506" s="48"/>
      <c r="F506" s="48"/>
      <c r="G506" s="48"/>
      <c r="H506" s="48"/>
      <c r="I506" s="48"/>
      <c r="J506" s="48"/>
      <c r="K506" s="48"/>
      <c r="L506" s="48"/>
      <c r="M506" s="48"/>
      <c r="N506" s="48"/>
      <c r="O506" s="48"/>
      <c r="P506" s="48"/>
      <c r="Q506" s="48"/>
    </row>
    <row r="507" spans="2:17" s="46" customFormat="1" ht="15" customHeight="1">
      <c r="B507" s="47"/>
      <c r="C507" s="48"/>
      <c r="D507" s="48"/>
      <c r="E507" s="48"/>
      <c r="F507" s="48"/>
      <c r="G507" s="48"/>
      <c r="H507" s="48"/>
      <c r="I507" s="48"/>
      <c r="J507" s="48"/>
      <c r="K507" s="48"/>
      <c r="L507" s="48"/>
      <c r="M507" s="48"/>
      <c r="N507" s="48"/>
      <c r="O507" s="48"/>
      <c r="P507" s="48"/>
      <c r="Q507" s="48"/>
    </row>
    <row r="508" spans="2:17" s="46" customFormat="1" ht="15" customHeight="1">
      <c r="B508" s="47"/>
      <c r="C508" s="48"/>
      <c r="D508" s="48"/>
      <c r="E508" s="48"/>
      <c r="F508" s="48"/>
      <c r="G508" s="48"/>
      <c r="H508" s="48"/>
      <c r="I508" s="48"/>
      <c r="J508" s="48"/>
      <c r="K508" s="48"/>
      <c r="L508" s="48"/>
      <c r="M508" s="48"/>
      <c r="N508" s="48"/>
      <c r="O508" s="48"/>
      <c r="P508" s="48"/>
      <c r="Q508" s="48"/>
    </row>
    <row r="509" spans="2:17" s="46" customFormat="1" ht="15" customHeight="1">
      <c r="B509" s="47"/>
      <c r="C509" s="48"/>
      <c r="D509" s="48"/>
      <c r="E509" s="48"/>
      <c r="F509" s="48"/>
      <c r="G509" s="48"/>
      <c r="H509" s="48"/>
      <c r="I509" s="48"/>
      <c r="J509" s="48"/>
      <c r="K509" s="48"/>
      <c r="L509" s="48"/>
      <c r="M509" s="48"/>
      <c r="N509" s="48"/>
      <c r="O509" s="48"/>
      <c r="P509" s="48"/>
      <c r="Q509" s="48"/>
    </row>
    <row r="510" spans="2:17" s="46" customFormat="1" ht="15" customHeight="1">
      <c r="B510" s="47"/>
      <c r="C510" s="48"/>
      <c r="D510" s="48"/>
      <c r="E510" s="48"/>
      <c r="F510" s="48"/>
      <c r="G510" s="48"/>
      <c r="H510" s="48"/>
      <c r="I510" s="48"/>
      <c r="J510" s="48"/>
      <c r="K510" s="48"/>
      <c r="L510" s="48"/>
      <c r="M510" s="48"/>
      <c r="N510" s="48"/>
      <c r="O510" s="48"/>
      <c r="P510" s="48"/>
      <c r="Q510" s="48"/>
    </row>
    <row r="511" spans="2:17" s="46" customFormat="1" ht="15" customHeight="1">
      <c r="B511" s="47"/>
      <c r="C511" s="48"/>
      <c r="D511" s="48"/>
      <c r="E511" s="48"/>
      <c r="F511" s="48"/>
      <c r="G511" s="48"/>
      <c r="H511" s="48"/>
      <c r="I511" s="48"/>
      <c r="J511" s="48"/>
      <c r="K511" s="48"/>
      <c r="L511" s="48"/>
      <c r="M511" s="48"/>
      <c r="N511" s="48"/>
      <c r="O511" s="48"/>
      <c r="P511" s="48"/>
      <c r="Q511" s="48"/>
    </row>
    <row r="512" spans="2:17" s="46" customFormat="1" ht="15" customHeight="1">
      <c r="B512" s="47"/>
      <c r="C512" s="48"/>
      <c r="D512" s="48"/>
      <c r="E512" s="48"/>
      <c r="F512" s="48"/>
      <c r="G512" s="48"/>
      <c r="H512" s="48"/>
      <c r="I512" s="48"/>
      <c r="J512" s="48"/>
      <c r="K512" s="48"/>
      <c r="L512" s="48"/>
      <c r="M512" s="48"/>
      <c r="N512" s="48"/>
      <c r="O512" s="48"/>
      <c r="P512" s="48"/>
      <c r="Q512" s="48"/>
    </row>
    <row r="513" spans="2:17" s="46" customFormat="1" ht="15" customHeight="1">
      <c r="B513" s="47"/>
      <c r="C513" s="48"/>
      <c r="D513" s="48"/>
      <c r="E513" s="48"/>
      <c r="F513" s="48"/>
      <c r="G513" s="48"/>
      <c r="H513" s="48"/>
      <c r="I513" s="48"/>
      <c r="J513" s="48"/>
      <c r="K513" s="48"/>
      <c r="L513" s="48"/>
      <c r="M513" s="48"/>
      <c r="N513" s="48"/>
      <c r="O513" s="48"/>
      <c r="P513" s="48"/>
      <c r="Q513" s="48"/>
    </row>
    <row r="514" spans="2:17" s="46" customFormat="1" ht="15" customHeight="1">
      <c r="B514" s="47"/>
      <c r="C514" s="48"/>
      <c r="D514" s="48"/>
      <c r="E514" s="48"/>
      <c r="F514" s="48"/>
      <c r="G514" s="48"/>
      <c r="H514" s="48"/>
      <c r="I514" s="48"/>
      <c r="J514" s="48"/>
      <c r="K514" s="48"/>
      <c r="L514" s="48"/>
      <c r="M514" s="48"/>
      <c r="N514" s="48"/>
      <c r="O514" s="48"/>
      <c r="P514" s="48"/>
      <c r="Q514" s="48"/>
    </row>
    <row r="515" spans="2:17" s="46" customFormat="1" ht="15" customHeight="1">
      <c r="B515" s="47"/>
      <c r="C515" s="48"/>
      <c r="D515" s="48"/>
      <c r="E515" s="48"/>
      <c r="F515" s="48"/>
      <c r="G515" s="48"/>
      <c r="H515" s="48"/>
      <c r="I515" s="48"/>
      <c r="J515" s="48"/>
      <c r="K515" s="48"/>
      <c r="L515" s="48"/>
      <c r="M515" s="48"/>
      <c r="N515" s="48"/>
      <c r="O515" s="48"/>
      <c r="P515" s="48"/>
      <c r="Q515" s="48"/>
    </row>
    <row r="516" spans="2:17" s="46" customFormat="1" ht="15" customHeight="1">
      <c r="B516" s="47"/>
      <c r="C516" s="48"/>
      <c r="D516" s="48"/>
      <c r="E516" s="48"/>
      <c r="F516" s="48"/>
      <c r="G516" s="48"/>
      <c r="H516" s="48"/>
      <c r="I516" s="48"/>
      <c r="J516" s="48"/>
      <c r="K516" s="48"/>
      <c r="L516" s="48"/>
      <c r="M516" s="48"/>
      <c r="N516" s="48"/>
      <c r="O516" s="48"/>
      <c r="P516" s="48"/>
      <c r="Q516" s="48"/>
    </row>
    <row r="517" spans="2:17" s="46" customFormat="1" ht="15" customHeight="1">
      <c r="B517" s="47"/>
      <c r="C517" s="48"/>
      <c r="D517" s="48"/>
      <c r="E517" s="48"/>
      <c r="F517" s="48"/>
      <c r="G517" s="48"/>
      <c r="H517" s="48"/>
      <c r="I517" s="48"/>
      <c r="J517" s="48"/>
      <c r="K517" s="48"/>
      <c r="L517" s="48"/>
      <c r="M517" s="48"/>
      <c r="N517" s="48"/>
      <c r="O517" s="48"/>
      <c r="P517" s="48"/>
      <c r="Q517" s="48"/>
    </row>
  </sheetData>
  <mergeCells count="25">
    <mergeCell ref="L17:O17"/>
    <mergeCell ref="B17:C17"/>
    <mergeCell ref="D17:G17"/>
    <mergeCell ref="H17:K17"/>
    <mergeCell ref="D16:G16"/>
    <mergeCell ref="H16:K16"/>
    <mergeCell ref="L16:O16"/>
    <mergeCell ref="L14:O14"/>
    <mergeCell ref="D15:G15"/>
    <mergeCell ref="H15:K15"/>
    <mergeCell ref="L15:O15"/>
    <mergeCell ref="B14:C14"/>
    <mergeCell ref="D14:G14"/>
    <mergeCell ref="H14:K14"/>
    <mergeCell ref="N8:Q8"/>
    <mergeCell ref="D5:M5"/>
    <mergeCell ref="N5:Q5"/>
    <mergeCell ref="N6:Q6"/>
    <mergeCell ref="C7:M7"/>
    <mergeCell ref="N7:Q7"/>
    <mergeCell ref="B1:Q1"/>
    <mergeCell ref="B3:C3"/>
    <mergeCell ref="N3:Q3"/>
    <mergeCell ref="C4:M4"/>
    <mergeCell ref="N4:Q4"/>
  </mergeCells>
  <pageMargins left="0.511811023622047" right="0.511811023622047" top="0.55118110236220497" bottom="0.55118110236220497" header="0.31496062992126" footer="0.31496062992126"/>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sheetPr>
  <dimension ref="A1:AJ79"/>
  <sheetViews>
    <sheetView showGridLines="0" zoomScaleNormal="100" workbookViewId="0">
      <selection activeCell="AG57" sqref="AG57"/>
    </sheetView>
  </sheetViews>
  <sheetFormatPr baseColWidth="10" defaultRowHeight="13.2"/>
  <cols>
    <col min="1" max="3" width="2.6640625" customWidth="1"/>
    <col min="4" max="4" width="3.109375" customWidth="1"/>
    <col min="5" max="5" width="5.44140625" customWidth="1"/>
    <col min="6" max="6" width="2.109375" customWidth="1"/>
    <col min="7" max="44" width="2.6640625" customWidth="1"/>
  </cols>
  <sheetData>
    <row r="1" spans="1:32" ht="14.4">
      <c r="A1" s="562" t="s">
        <v>882</v>
      </c>
      <c r="B1" s="563"/>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row>
    <row r="2" spans="1:32" ht="3" customHeight="1"/>
    <row r="3" spans="1:32">
      <c r="A3" s="365" t="s">
        <v>883</v>
      </c>
    </row>
    <row r="9" spans="1:32">
      <c r="B9" s="367" t="s">
        <v>884</v>
      </c>
    </row>
    <row r="10" spans="1:32" ht="3.6" customHeight="1">
      <c r="B10" s="367"/>
    </row>
    <row r="11" spans="1:32">
      <c r="B11" s="367" t="s">
        <v>885</v>
      </c>
    </row>
    <row r="12" spans="1:32" ht="3" customHeight="1">
      <c r="B12" s="367"/>
    </row>
    <row r="13" spans="1:32" ht="13.2" customHeight="1">
      <c r="B13" s="564" t="s">
        <v>886</v>
      </c>
      <c r="C13" s="564"/>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row>
    <row r="14" spans="1:32">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row>
    <row r="15" spans="1:32">
      <c r="B15" s="564"/>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row>
    <row r="16" spans="1:32" ht="15.75" customHeight="1">
      <c r="B16" s="564"/>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row>
    <row r="17" spans="2:36" ht="4.95" customHeight="1">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row>
    <row r="18" spans="2:36">
      <c r="B18" s="373" t="s">
        <v>906</v>
      </c>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row>
    <row r="19" spans="2:36" ht="3" customHeight="1">
      <c r="B19" s="371"/>
      <c r="C19" s="371"/>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row>
    <row r="20" spans="2:36">
      <c r="B20" s="372"/>
      <c r="C20" s="372" t="s">
        <v>907</v>
      </c>
      <c r="D20" s="372"/>
      <c r="E20" s="372"/>
      <c r="F20" s="372"/>
      <c r="G20" s="372"/>
      <c r="H20" s="372"/>
      <c r="I20" s="372"/>
      <c r="J20" s="372"/>
      <c r="K20" s="372"/>
      <c r="L20" s="372"/>
      <c r="M20" s="372"/>
      <c r="N20" s="372"/>
      <c r="O20" s="372"/>
      <c r="P20" s="372"/>
      <c r="Q20" s="372"/>
      <c r="R20" s="372"/>
      <c r="S20" s="372"/>
      <c r="T20" s="372"/>
      <c r="U20" s="372"/>
      <c r="V20" s="372"/>
      <c r="W20" s="372"/>
      <c r="X20" s="372"/>
      <c r="Y20" s="372"/>
      <c r="AA20" s="372"/>
      <c r="AB20" s="372"/>
      <c r="AC20" s="372"/>
      <c r="AD20" s="372"/>
      <c r="AE20" s="372"/>
    </row>
    <row r="21" spans="2:36" ht="3.6" customHeight="1">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c r="AB21" s="372"/>
      <c r="AC21" s="372"/>
      <c r="AD21" s="372"/>
      <c r="AE21" s="372"/>
    </row>
    <row r="22" spans="2:36">
      <c r="B22" s="372"/>
      <c r="C22" s="372"/>
      <c r="D22" s="558" t="s">
        <v>908</v>
      </c>
      <c r="E22" s="558"/>
      <c r="F22" s="558"/>
      <c r="G22" s="558"/>
      <c r="H22" s="558"/>
      <c r="I22" s="558"/>
      <c r="J22" s="558"/>
      <c r="K22" s="558"/>
      <c r="L22" s="558"/>
      <c r="M22" s="377"/>
      <c r="N22" s="377"/>
      <c r="O22" s="558" t="s">
        <v>36</v>
      </c>
      <c r="P22" s="558"/>
      <c r="Q22" s="558"/>
      <c r="R22" s="558"/>
      <c r="S22" s="558"/>
      <c r="T22" s="558"/>
      <c r="U22" s="558"/>
      <c r="V22" s="558"/>
      <c r="W22" s="558"/>
      <c r="X22" s="372"/>
      <c r="Y22" s="372"/>
      <c r="Z22" s="372"/>
      <c r="AA22" s="372"/>
      <c r="AB22" s="372"/>
      <c r="AC22" s="372"/>
      <c r="AD22" s="372"/>
      <c r="AE22" s="372"/>
      <c r="AH22" s="433" t="s">
        <v>986</v>
      </c>
    </row>
    <row r="23" spans="2:36">
      <c r="B23" s="372"/>
      <c r="C23" s="372"/>
      <c r="D23" s="552">
        <v>45658</v>
      </c>
      <c r="E23" s="553"/>
      <c r="F23" s="553"/>
      <c r="G23" s="553"/>
      <c r="H23" s="553"/>
      <c r="I23" s="553"/>
      <c r="J23" s="553"/>
      <c r="K23" s="553"/>
      <c r="L23" s="553"/>
      <c r="M23" s="553"/>
      <c r="N23" s="375"/>
      <c r="O23" s="375"/>
      <c r="P23" s="375"/>
      <c r="Q23" s="554">
        <v>3.1699999999999999E-2</v>
      </c>
      <c r="R23" s="553"/>
      <c r="S23" s="553"/>
      <c r="T23" s="553"/>
      <c r="U23" s="553"/>
      <c r="V23" s="375"/>
      <c r="W23" s="375"/>
      <c r="X23" s="372"/>
      <c r="Y23" s="372"/>
      <c r="Z23" s="372"/>
      <c r="AA23" s="372"/>
      <c r="AB23" s="372"/>
      <c r="AC23" s="372"/>
      <c r="AD23" s="372"/>
      <c r="AE23" s="372"/>
      <c r="AJ23" s="366" t="s">
        <v>987</v>
      </c>
    </row>
    <row r="24" spans="2:36" ht="4.95" customHeight="1">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row>
    <row r="25" spans="2:36">
      <c r="B25" s="372"/>
      <c r="C25" s="372"/>
      <c r="D25" s="552">
        <v>45689</v>
      </c>
      <c r="E25" s="553"/>
      <c r="F25" s="553"/>
      <c r="G25" s="553"/>
      <c r="H25" s="553"/>
      <c r="I25" s="553"/>
      <c r="J25" s="553"/>
      <c r="K25" s="553"/>
      <c r="L25" s="553"/>
      <c r="M25" s="553"/>
      <c r="N25" s="375"/>
      <c r="O25" s="375"/>
      <c r="P25" s="375"/>
      <c r="Q25" s="554">
        <v>3.1E-2</v>
      </c>
      <c r="R25" s="553"/>
      <c r="S25" s="553"/>
      <c r="T25" s="553"/>
      <c r="U25" s="553"/>
      <c r="V25" s="375"/>
      <c r="W25" s="375"/>
      <c r="X25" s="372"/>
      <c r="Y25" s="372"/>
      <c r="Z25" s="372"/>
      <c r="AA25" s="372"/>
      <c r="AB25" s="372"/>
      <c r="AC25" s="372"/>
      <c r="AD25" s="372"/>
      <c r="AE25" s="372"/>
      <c r="AJ25" s="366" t="s">
        <v>988</v>
      </c>
    </row>
    <row r="26" spans="2:36" ht="4.95" customHeight="1">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c r="AB26" s="372"/>
      <c r="AC26" s="372"/>
      <c r="AD26" s="372"/>
      <c r="AE26" s="372"/>
    </row>
    <row r="27" spans="2:36">
      <c r="B27" s="372"/>
      <c r="C27" s="372"/>
      <c r="D27" s="552">
        <v>45717</v>
      </c>
      <c r="E27" s="553"/>
      <c r="F27" s="553"/>
      <c r="G27" s="553"/>
      <c r="H27" s="553"/>
      <c r="I27" s="553"/>
      <c r="J27" s="553"/>
      <c r="K27" s="553"/>
      <c r="L27" s="553"/>
      <c r="M27" s="553"/>
      <c r="N27" s="375"/>
      <c r="O27" s="375"/>
      <c r="P27" s="375"/>
      <c r="Q27" s="554">
        <v>3.39E-2</v>
      </c>
      <c r="R27" s="553"/>
      <c r="S27" s="553"/>
      <c r="T27" s="553"/>
      <c r="U27" s="553"/>
      <c r="V27" s="375"/>
      <c r="W27" s="375"/>
      <c r="X27" s="372"/>
      <c r="Y27" s="372"/>
      <c r="Z27" s="372"/>
      <c r="AA27" s="372"/>
      <c r="AB27" s="372"/>
      <c r="AC27" s="372"/>
      <c r="AD27" s="372"/>
      <c r="AE27" s="372"/>
    </row>
    <row r="28" spans="2:36" ht="4.95" customHeight="1"/>
    <row r="29" spans="2:36">
      <c r="D29" s="552">
        <v>45748</v>
      </c>
      <c r="E29" s="553"/>
      <c r="F29" s="553"/>
      <c r="G29" s="553"/>
      <c r="H29" s="553"/>
      <c r="I29" s="553"/>
      <c r="J29" s="553"/>
      <c r="K29" s="553"/>
      <c r="L29" s="553"/>
      <c r="M29" s="553"/>
      <c r="N29" s="375"/>
      <c r="O29" s="375"/>
      <c r="P29" s="375"/>
      <c r="Q29" s="554">
        <v>3.2300000000000002E-2</v>
      </c>
      <c r="R29" s="553"/>
      <c r="S29" s="553"/>
      <c r="T29" s="553"/>
      <c r="U29" s="553"/>
      <c r="V29" s="375"/>
      <c r="W29" s="375"/>
    </row>
    <row r="30" spans="2:36" ht="4.95" customHeight="1"/>
    <row r="31" spans="2:36">
      <c r="D31" s="552">
        <v>45778</v>
      </c>
      <c r="E31" s="553"/>
      <c r="F31" s="553"/>
      <c r="G31" s="553"/>
      <c r="H31" s="553"/>
      <c r="I31" s="553"/>
      <c r="J31" s="553"/>
      <c r="K31" s="553"/>
      <c r="L31" s="553"/>
      <c r="M31" s="553"/>
      <c r="N31" s="375"/>
      <c r="O31" s="375"/>
      <c r="P31" s="375"/>
      <c r="Q31" s="554">
        <v>3.2099999999999997E-2</v>
      </c>
      <c r="R31" s="553"/>
      <c r="S31" s="553"/>
      <c r="T31" s="553"/>
      <c r="U31" s="553"/>
      <c r="V31" s="375"/>
      <c r="W31" s="375"/>
    </row>
    <row r="32" spans="2:36" ht="4.95" customHeight="1"/>
    <row r="33" spans="2:35">
      <c r="D33" s="552">
        <v>45809</v>
      </c>
      <c r="E33" s="553"/>
      <c r="F33" s="553"/>
      <c r="G33" s="553"/>
      <c r="H33" s="553"/>
      <c r="I33" s="553"/>
      <c r="J33" s="553"/>
      <c r="K33" s="553"/>
      <c r="L33" s="553"/>
      <c r="M33" s="553"/>
      <c r="N33" s="375"/>
      <c r="O33" s="375"/>
      <c r="P33" s="375"/>
      <c r="Q33" s="554">
        <v>3.1600000000000003E-2</v>
      </c>
      <c r="R33" s="553"/>
      <c r="S33" s="553"/>
      <c r="T33" s="553"/>
      <c r="U33" s="553"/>
      <c r="V33" s="375"/>
      <c r="W33" s="375"/>
    </row>
    <row r="34" spans="2:35" ht="4.95" customHeight="1"/>
    <row r="35" spans="2:35">
      <c r="D35" s="555" t="s">
        <v>909</v>
      </c>
      <c r="E35" s="556"/>
      <c r="F35" s="556"/>
      <c r="G35" s="556"/>
      <c r="H35" s="556"/>
      <c r="I35" s="556"/>
      <c r="J35" s="556"/>
      <c r="K35" s="556"/>
      <c r="L35" s="556"/>
      <c r="M35" s="556"/>
      <c r="N35" s="378"/>
      <c r="O35" s="378"/>
      <c r="P35" s="378"/>
      <c r="Q35" s="557">
        <f>AVERAGE(Q23:U33)</f>
        <v>3.2099999999999997E-2</v>
      </c>
      <c r="R35" s="556"/>
      <c r="S35" s="556"/>
      <c r="T35" s="556"/>
      <c r="U35" s="556"/>
      <c r="V35" s="378"/>
      <c r="W35" s="378"/>
    </row>
    <row r="36" spans="2:35" ht="4.95" customHeight="1"/>
    <row r="37" spans="2:35">
      <c r="D37" s="558" t="s">
        <v>910</v>
      </c>
      <c r="E37" s="558"/>
      <c r="F37" s="558"/>
      <c r="G37" s="558"/>
      <c r="H37" s="558"/>
      <c r="I37" s="558"/>
      <c r="J37" s="558"/>
      <c r="K37" s="558"/>
      <c r="L37" s="558"/>
      <c r="M37" s="376"/>
      <c r="N37" s="376"/>
      <c r="O37" s="376"/>
      <c r="P37" s="376"/>
      <c r="Q37" s="559">
        <f>2%+Q35</f>
        <v>5.2099999999999994E-2</v>
      </c>
      <c r="R37" s="560"/>
      <c r="S37" s="560"/>
      <c r="T37" s="560"/>
      <c r="U37" s="560"/>
      <c r="V37" s="376"/>
      <c r="W37" s="376"/>
    </row>
    <row r="39" spans="2:35">
      <c r="B39" s="367" t="s">
        <v>887</v>
      </c>
      <c r="C39" s="561">
        <f>Q37</f>
        <v>5.2099999999999994E-2</v>
      </c>
      <c r="D39" s="561"/>
      <c r="H39" s="366" t="s">
        <v>985</v>
      </c>
      <c r="J39" s="561">
        <f>C39+1</f>
        <v>1.0521</v>
      </c>
      <c r="K39" s="561"/>
    </row>
    <row r="40" spans="2:35" ht="3" customHeight="1"/>
    <row r="41" spans="2:35">
      <c r="B41" s="366" t="s">
        <v>888</v>
      </c>
      <c r="C41">
        <v>0</v>
      </c>
      <c r="E41" s="432">
        <f>($J$39)^(C41)</f>
        <v>1</v>
      </c>
      <c r="H41" s="366" t="s">
        <v>1031</v>
      </c>
      <c r="J41" s="366" t="s">
        <v>904</v>
      </c>
      <c r="K41" s="543">
        <f>FlujoGastos!N42</f>
        <v>-2044626.7747070312</v>
      </c>
      <c r="L41" s="543"/>
      <c r="M41" s="543"/>
      <c r="N41" s="543"/>
      <c r="O41" s="543"/>
      <c r="Q41" s="368" t="s">
        <v>905</v>
      </c>
      <c r="R41" s="368"/>
      <c r="S41" s="368"/>
      <c r="T41" s="368"/>
      <c r="U41" s="369" t="s">
        <v>904</v>
      </c>
      <c r="V41" s="544">
        <f>FlujoGastos!N52</f>
        <v>-2044626.7747070312</v>
      </c>
      <c r="W41" s="544"/>
      <c r="X41" s="544"/>
      <c r="Y41" s="544"/>
      <c r="Z41" s="544"/>
      <c r="AA41" s="544"/>
      <c r="AE41" s="551"/>
      <c r="AF41" s="551"/>
      <c r="AG41" s="551"/>
      <c r="AH41" s="551"/>
      <c r="AI41" s="551"/>
    </row>
    <row r="42" spans="2:35" ht="4.95" customHeight="1">
      <c r="J42" s="366"/>
      <c r="K42" s="379"/>
      <c r="L42" s="379"/>
      <c r="M42" s="379"/>
      <c r="N42" s="379"/>
      <c r="O42" s="379"/>
      <c r="V42" s="370"/>
      <c r="W42" s="370"/>
      <c r="X42" s="379"/>
      <c r="Y42" s="379"/>
      <c r="Z42" s="379"/>
      <c r="AA42" s="379"/>
    </row>
    <row r="43" spans="2:35">
      <c r="B43" s="366" t="s">
        <v>888</v>
      </c>
      <c r="C43">
        <v>1</v>
      </c>
      <c r="E43" s="432">
        <f>($J$39)^(C43)</f>
        <v>1.0521</v>
      </c>
      <c r="H43" s="366" t="s">
        <v>889</v>
      </c>
      <c r="J43" s="366" t="s">
        <v>904</v>
      </c>
      <c r="K43" s="543">
        <f>FlujoGastos!R42</f>
        <v>364334.49595744163</v>
      </c>
      <c r="L43" s="543"/>
      <c r="M43" s="543"/>
      <c r="N43" s="543"/>
      <c r="O43" s="543"/>
      <c r="Q43" s="368" t="s">
        <v>905</v>
      </c>
      <c r="R43" s="368"/>
      <c r="S43" s="368"/>
      <c r="T43" s="368"/>
      <c r="U43" s="369" t="s">
        <v>904</v>
      </c>
      <c r="V43" s="544">
        <f>FlujoGastos!R52</f>
        <v>-1698334.1257597432</v>
      </c>
      <c r="W43" s="544"/>
      <c r="X43" s="544"/>
      <c r="Y43" s="544"/>
      <c r="Z43" s="544"/>
      <c r="AA43" s="544"/>
      <c r="AE43" s="551"/>
      <c r="AF43" s="551"/>
      <c r="AG43" s="551"/>
      <c r="AH43" s="551"/>
      <c r="AI43" s="551"/>
    </row>
    <row r="44" spans="2:35" ht="4.95" customHeight="1">
      <c r="J44" s="366"/>
      <c r="K44" s="379"/>
      <c r="L44" s="379"/>
      <c r="M44" s="379"/>
      <c r="N44" s="379"/>
      <c r="O44" s="379"/>
      <c r="V44" s="370"/>
      <c r="W44" s="370"/>
      <c r="X44" s="379"/>
      <c r="Y44" s="379"/>
      <c r="Z44" s="379"/>
      <c r="AA44" s="379"/>
    </row>
    <row r="45" spans="2:35">
      <c r="B45" s="366" t="s">
        <v>888</v>
      </c>
      <c r="C45">
        <v>2</v>
      </c>
      <c r="E45" s="432">
        <f>($J$39)^(C45)</f>
        <v>1.1069144100000001</v>
      </c>
      <c r="H45" s="366" t="s">
        <v>890</v>
      </c>
      <c r="J45" s="366" t="s">
        <v>904</v>
      </c>
      <c r="K45" s="543">
        <f>FlujoGastos!V42</f>
        <v>364334.49595744163</v>
      </c>
      <c r="L45" s="543"/>
      <c r="M45" s="543"/>
      <c r="N45" s="543"/>
      <c r="O45" s="543"/>
      <c r="Q45" s="368" t="s">
        <v>905</v>
      </c>
      <c r="R45" s="368"/>
      <c r="S45" s="368"/>
      <c r="T45" s="368"/>
      <c r="U45" s="369" t="s">
        <v>904</v>
      </c>
      <c r="V45" s="544">
        <f>FlujoGastos!V52</f>
        <v>-1369189.8914214787</v>
      </c>
      <c r="W45" s="544"/>
      <c r="X45" s="544"/>
      <c r="Y45" s="544"/>
      <c r="Z45" s="544"/>
      <c r="AA45" s="544"/>
    </row>
    <row r="46" spans="2:35" ht="4.95" customHeight="1">
      <c r="K46" s="379"/>
      <c r="L46" s="379"/>
      <c r="M46" s="379"/>
      <c r="N46" s="379"/>
      <c r="O46" s="379"/>
      <c r="V46" s="370"/>
      <c r="W46" s="370"/>
      <c r="X46" s="379"/>
      <c r="Y46" s="379"/>
      <c r="Z46" s="379"/>
      <c r="AA46" s="379"/>
    </row>
    <row r="47" spans="2:35">
      <c r="B47" s="366" t="s">
        <v>888</v>
      </c>
      <c r="C47">
        <v>3</v>
      </c>
      <c r="E47" s="432">
        <f>($J$39)^(C47)</f>
        <v>1.1645846507610003</v>
      </c>
      <c r="H47" s="366" t="s">
        <v>891</v>
      </c>
      <c r="J47" s="366" t="s">
        <v>904</v>
      </c>
      <c r="K47" s="543">
        <f>FlujoGastos!Z42</f>
        <v>364334.49595744163</v>
      </c>
      <c r="L47" s="543"/>
      <c r="M47" s="543"/>
      <c r="N47" s="543"/>
      <c r="O47" s="543"/>
      <c r="Q47" s="368" t="s">
        <v>905</v>
      </c>
      <c r="R47" s="368"/>
      <c r="S47" s="368"/>
      <c r="T47" s="368"/>
      <c r="U47" s="369" t="s">
        <v>904</v>
      </c>
      <c r="V47" s="544">
        <f>FlujoGastos!Z52</f>
        <v>-1056344.8820704054</v>
      </c>
      <c r="W47" s="544"/>
      <c r="X47" s="544"/>
      <c r="Y47" s="544"/>
      <c r="Z47" s="544"/>
      <c r="AA47" s="544"/>
    </row>
    <row r="48" spans="2:35" ht="4.95" customHeight="1">
      <c r="K48" s="379"/>
      <c r="L48" s="379"/>
      <c r="M48" s="379"/>
      <c r="N48" s="379"/>
      <c r="O48" s="379"/>
      <c r="V48" s="370"/>
      <c r="W48" s="370"/>
      <c r="X48" s="379"/>
      <c r="Y48" s="379"/>
      <c r="Z48" s="379"/>
      <c r="AA48" s="379"/>
    </row>
    <row r="49" spans="2:27">
      <c r="B49" s="366" t="s">
        <v>888</v>
      </c>
      <c r="C49">
        <v>4</v>
      </c>
      <c r="E49" s="432">
        <f>($J$39)^(C49)</f>
        <v>1.2252595110656483</v>
      </c>
      <c r="H49" s="366" t="s">
        <v>892</v>
      </c>
      <c r="J49" s="366" t="s">
        <v>904</v>
      </c>
      <c r="K49" s="543">
        <f>FlujoGastos!AD42</f>
        <v>364334.49595744163</v>
      </c>
      <c r="L49" s="543"/>
      <c r="M49" s="543"/>
      <c r="N49" s="543"/>
      <c r="O49" s="543"/>
      <c r="Q49" s="368" t="s">
        <v>905</v>
      </c>
      <c r="R49" s="368"/>
      <c r="S49" s="368"/>
      <c r="T49" s="368"/>
      <c r="U49" s="369" t="s">
        <v>904</v>
      </c>
      <c r="V49" s="544">
        <f>FlujoGastos!AD52</f>
        <v>-758991.95996122062</v>
      </c>
      <c r="W49" s="544"/>
      <c r="X49" s="544"/>
      <c r="Y49" s="544"/>
      <c r="Z49" s="544"/>
      <c r="AA49" s="544"/>
    </row>
    <row r="50" spans="2:27" ht="4.95" customHeight="1">
      <c r="K50" s="379"/>
      <c r="L50" s="379"/>
      <c r="M50" s="379"/>
      <c r="N50" s="379"/>
      <c r="O50" s="379"/>
      <c r="V50" s="370"/>
      <c r="W50" s="370"/>
      <c r="X50" s="379"/>
      <c r="Y50" s="379"/>
      <c r="Z50" s="379"/>
      <c r="AA50" s="379"/>
    </row>
    <row r="51" spans="2:27">
      <c r="B51" s="366" t="s">
        <v>888</v>
      </c>
      <c r="C51">
        <v>5</v>
      </c>
      <c r="E51" s="432">
        <f>($J$39)^(C51)</f>
        <v>1.2890955315921686</v>
      </c>
      <c r="H51" s="366" t="s">
        <v>893</v>
      </c>
      <c r="J51" s="366" t="s">
        <v>904</v>
      </c>
      <c r="K51" s="543">
        <f>FlujoGastos!AH42</f>
        <v>27991.471250410366</v>
      </c>
      <c r="L51" s="543"/>
      <c r="M51" s="543"/>
      <c r="N51" s="543"/>
      <c r="O51" s="543"/>
      <c r="Q51" s="368" t="s">
        <v>905</v>
      </c>
      <c r="R51" s="368"/>
      <c r="S51" s="368"/>
      <c r="T51" s="368"/>
      <c r="U51" s="369" t="s">
        <v>904</v>
      </c>
      <c r="V51" s="544">
        <f>FlujoGastos!AH52</f>
        <v>-737277.92049368948</v>
      </c>
      <c r="W51" s="544"/>
      <c r="X51" s="544"/>
      <c r="Y51" s="544"/>
      <c r="Z51" s="544"/>
      <c r="AA51" s="544"/>
    </row>
    <row r="52" spans="2:27" ht="4.95" customHeight="1">
      <c r="K52" s="379"/>
      <c r="L52" s="379"/>
      <c r="M52" s="379"/>
      <c r="N52" s="379"/>
      <c r="O52" s="379"/>
      <c r="V52" s="370"/>
      <c r="W52" s="370"/>
      <c r="X52" s="379"/>
      <c r="Y52" s="379"/>
      <c r="Z52" s="379"/>
      <c r="AA52" s="379"/>
    </row>
    <row r="53" spans="2:27">
      <c r="B53" s="366" t="s">
        <v>888</v>
      </c>
      <c r="C53">
        <v>6</v>
      </c>
      <c r="E53" s="432">
        <f>($J$39)^(C53)</f>
        <v>1.3562574087881207</v>
      </c>
      <c r="H53" s="366" t="s">
        <v>894</v>
      </c>
      <c r="J53" s="366" t="s">
        <v>904</v>
      </c>
      <c r="K53" s="543">
        <f>FlujoGastos!AL42</f>
        <v>364334.49595744163</v>
      </c>
      <c r="L53" s="543"/>
      <c r="M53" s="543"/>
      <c r="N53" s="543"/>
      <c r="O53" s="543"/>
      <c r="Q53" s="368" t="s">
        <v>905</v>
      </c>
      <c r="R53" s="368"/>
      <c r="S53" s="368"/>
      <c r="T53" s="368"/>
      <c r="U53" s="369" t="s">
        <v>904</v>
      </c>
      <c r="V53" s="544">
        <f>FlujoGastos!AL52</f>
        <v>-468645.65821318957</v>
      </c>
      <c r="W53" s="544"/>
      <c r="X53" s="544"/>
      <c r="Y53" s="544"/>
      <c r="Z53" s="544"/>
      <c r="AA53" s="544"/>
    </row>
    <row r="54" spans="2:27" ht="4.95" customHeight="1">
      <c r="K54" s="379"/>
      <c r="L54" s="379"/>
      <c r="M54" s="379"/>
      <c r="N54" s="379"/>
      <c r="O54" s="379"/>
      <c r="V54" s="370"/>
      <c r="W54" s="370"/>
      <c r="X54" s="379"/>
      <c r="Y54" s="379"/>
      <c r="Z54" s="379"/>
      <c r="AA54" s="379"/>
    </row>
    <row r="55" spans="2:27">
      <c r="B55" s="366" t="s">
        <v>888</v>
      </c>
      <c r="C55">
        <v>7</v>
      </c>
      <c r="E55" s="432">
        <f>($J$39)^(C55)</f>
        <v>1.4269184197859821</v>
      </c>
      <c r="H55" s="366" t="s">
        <v>895</v>
      </c>
      <c r="J55" s="366" t="s">
        <v>904</v>
      </c>
      <c r="K55" s="543">
        <f>FlujoGastos!AP42</f>
        <v>364334.49595744163</v>
      </c>
      <c r="L55" s="543"/>
      <c r="M55" s="543"/>
      <c r="N55" s="543"/>
      <c r="O55" s="543"/>
      <c r="Q55" s="368" t="s">
        <v>905</v>
      </c>
      <c r="R55" s="368"/>
      <c r="S55" s="368"/>
      <c r="T55" s="368"/>
      <c r="U55" s="369" t="s">
        <v>904</v>
      </c>
      <c r="V55" s="544">
        <f>FlujoGastos!AP52</f>
        <v>-213316.06760345679</v>
      </c>
      <c r="W55" s="544"/>
      <c r="X55" s="544"/>
      <c r="Y55" s="544"/>
      <c r="Z55" s="544"/>
      <c r="AA55" s="544"/>
    </row>
    <row r="56" spans="2:27" ht="4.95" customHeight="1">
      <c r="K56" s="379"/>
      <c r="L56" s="379"/>
      <c r="M56" s="379"/>
      <c r="N56" s="379"/>
      <c r="O56" s="379"/>
      <c r="V56" s="370"/>
      <c r="W56" s="370"/>
      <c r="X56" s="379"/>
      <c r="Y56" s="379"/>
      <c r="Z56" s="379"/>
      <c r="AA56" s="379"/>
    </row>
    <row r="57" spans="2:27">
      <c r="B57" s="366" t="s">
        <v>888</v>
      </c>
      <c r="C57">
        <v>8</v>
      </c>
      <c r="E57" s="432">
        <f>($J$39)^(C57)</f>
        <v>1.5012608694568317</v>
      </c>
      <c r="H57" s="366" t="s">
        <v>896</v>
      </c>
      <c r="J57" s="366" t="s">
        <v>904</v>
      </c>
      <c r="K57" s="543">
        <f>FlujoGastos!AT42</f>
        <v>364334.49595744163</v>
      </c>
      <c r="L57" s="543"/>
      <c r="M57" s="543"/>
      <c r="N57" s="543"/>
      <c r="O57" s="543"/>
      <c r="Q57" s="368" t="s">
        <v>905</v>
      </c>
      <c r="R57" s="368"/>
      <c r="S57" s="368"/>
      <c r="T57" s="368"/>
      <c r="U57" s="369" t="s">
        <v>904</v>
      </c>
      <c r="V57" s="545">
        <f>FlujoGastos!AT52</f>
        <v>29369.5997377967</v>
      </c>
      <c r="W57" s="545"/>
      <c r="X57" s="545"/>
      <c r="Y57" s="545"/>
      <c r="Z57" s="545"/>
      <c r="AA57" s="545"/>
    </row>
    <row r="58" spans="2:27" ht="4.95" customHeight="1">
      <c r="K58" s="379"/>
      <c r="L58" s="379"/>
      <c r="M58" s="379"/>
      <c r="N58" s="379"/>
      <c r="O58" s="379"/>
      <c r="V58" s="370"/>
      <c r="W58" s="370"/>
      <c r="X58" s="379"/>
      <c r="Y58" s="379"/>
      <c r="Z58" s="379"/>
      <c r="AA58" s="379"/>
    </row>
    <row r="59" spans="2:27">
      <c r="B59" s="366" t="s">
        <v>888</v>
      </c>
      <c r="C59">
        <v>9</v>
      </c>
      <c r="E59" s="432">
        <f>($J$39)^(C59)</f>
        <v>1.5794765607555326</v>
      </c>
      <c r="H59" s="366" t="s">
        <v>897</v>
      </c>
      <c r="J59" s="366" t="s">
        <v>904</v>
      </c>
      <c r="K59" s="543">
        <f>FlujoGastos!AX42</f>
        <v>364334.49595744163</v>
      </c>
      <c r="L59" s="543"/>
      <c r="M59" s="543"/>
      <c r="N59" s="543"/>
      <c r="O59" s="543"/>
      <c r="Q59" s="368" t="s">
        <v>905</v>
      </c>
      <c r="R59" s="368"/>
      <c r="S59" s="368"/>
      <c r="T59" s="368"/>
      <c r="U59" s="369" t="s">
        <v>904</v>
      </c>
      <c r="V59" s="545">
        <f>FlujoGastos!AX52</f>
        <v>260037.47098696834</v>
      </c>
      <c r="W59" s="545"/>
      <c r="X59" s="545"/>
      <c r="Y59" s="545"/>
      <c r="Z59" s="545"/>
      <c r="AA59" s="545"/>
    </row>
    <row r="60" spans="2:27" ht="4.95" customHeight="1">
      <c r="K60" s="379"/>
      <c r="L60" s="379"/>
      <c r="M60" s="379"/>
      <c r="N60" s="379"/>
      <c r="O60" s="379"/>
      <c r="V60" s="370"/>
      <c r="W60" s="370"/>
      <c r="X60" s="379"/>
      <c r="Y60" s="379"/>
      <c r="Z60" s="379"/>
      <c r="AA60" s="379"/>
    </row>
    <row r="61" spans="2:27">
      <c r="B61" s="366" t="s">
        <v>888</v>
      </c>
      <c r="C61">
        <v>10</v>
      </c>
      <c r="E61" s="432">
        <f>($J$39)^(C61)</f>
        <v>1.6617672895708961</v>
      </c>
      <c r="H61" s="366" t="s">
        <v>898</v>
      </c>
      <c r="J61" s="366" t="s">
        <v>904</v>
      </c>
      <c r="K61" s="543">
        <f>FlujoGastos!BB42</f>
        <v>364334.49595744163</v>
      </c>
      <c r="L61" s="543"/>
      <c r="M61" s="543"/>
      <c r="N61" s="543"/>
      <c r="O61" s="543"/>
      <c r="Q61" s="368" t="s">
        <v>905</v>
      </c>
      <c r="R61" s="368"/>
      <c r="S61" s="368"/>
      <c r="T61" s="368"/>
      <c r="U61" s="369" t="s">
        <v>904</v>
      </c>
      <c r="V61" s="545">
        <f>FlujoGastos!BB52</f>
        <v>479282.66749791941</v>
      </c>
      <c r="W61" s="545"/>
      <c r="X61" s="545"/>
      <c r="Y61" s="545"/>
      <c r="Z61" s="545"/>
      <c r="AA61" s="545"/>
    </row>
    <row r="62" spans="2:27" ht="4.95" customHeight="1">
      <c r="K62" s="379"/>
      <c r="L62" s="379"/>
      <c r="M62" s="379"/>
      <c r="N62" s="379"/>
      <c r="O62" s="379"/>
      <c r="V62" s="448"/>
      <c r="W62" s="448"/>
      <c r="X62" s="449"/>
      <c r="Y62" s="449"/>
      <c r="Z62" s="449"/>
      <c r="AA62" s="449"/>
    </row>
    <row r="63" spans="2:27">
      <c r="B63" s="366" t="s">
        <v>888</v>
      </c>
      <c r="C63">
        <v>11</v>
      </c>
      <c r="E63" s="432">
        <f>($J$39)^(C63)</f>
        <v>1.74834536535754</v>
      </c>
      <c r="H63" s="366" t="s">
        <v>899</v>
      </c>
      <c r="J63" s="366" t="s">
        <v>904</v>
      </c>
      <c r="K63" s="543">
        <f>FlujoGastos!BF42</f>
        <v>364334.49595744163</v>
      </c>
      <c r="L63" s="543"/>
      <c r="M63" s="543"/>
      <c r="N63" s="543"/>
      <c r="O63" s="543"/>
      <c r="Q63" s="368" t="s">
        <v>905</v>
      </c>
      <c r="R63" s="368"/>
      <c r="S63" s="368"/>
      <c r="T63" s="368"/>
      <c r="U63" s="369" t="s">
        <v>904</v>
      </c>
      <c r="V63" s="545">
        <f>FlujoGastos!BF52</f>
        <v>687670.84021054278</v>
      </c>
      <c r="W63" s="545"/>
      <c r="X63" s="545"/>
      <c r="Y63" s="545"/>
      <c r="Z63" s="545"/>
      <c r="AA63" s="545"/>
    </row>
    <row r="64" spans="2:27" ht="4.95" customHeight="1">
      <c r="K64" s="379"/>
      <c r="L64" s="379"/>
      <c r="M64" s="379"/>
      <c r="N64" s="379"/>
      <c r="O64" s="379"/>
      <c r="V64" s="448"/>
      <c r="W64" s="448"/>
      <c r="X64" s="449"/>
      <c r="Y64" s="449"/>
      <c r="Z64" s="449"/>
      <c r="AA64" s="449"/>
    </row>
    <row r="65" spans="1:32">
      <c r="B65" s="366" t="s">
        <v>888</v>
      </c>
      <c r="C65">
        <v>12</v>
      </c>
      <c r="E65" s="432">
        <f>($J$39)^(C65)</f>
        <v>1.8394341588926677</v>
      </c>
      <c r="H65" s="366" t="s">
        <v>900</v>
      </c>
      <c r="J65" s="366" t="s">
        <v>904</v>
      </c>
      <c r="K65" s="543">
        <f>FlujoGastos!BJ42</f>
        <v>364334.49595744163</v>
      </c>
      <c r="L65" s="543"/>
      <c r="M65" s="543"/>
      <c r="N65" s="543"/>
      <c r="O65" s="543"/>
      <c r="Q65" s="368" t="s">
        <v>905</v>
      </c>
      <c r="R65" s="368"/>
      <c r="S65" s="368"/>
      <c r="T65" s="368"/>
      <c r="U65" s="369" t="s">
        <v>904</v>
      </c>
      <c r="V65" s="545">
        <f>FlujoGastos!BJ52</f>
        <v>885739.62902588677</v>
      </c>
      <c r="W65" s="545"/>
      <c r="X65" s="545"/>
      <c r="Y65" s="545"/>
      <c r="Z65" s="545"/>
      <c r="AA65" s="545"/>
    </row>
    <row r="66" spans="1:32" ht="4.95" customHeight="1">
      <c r="K66" s="379"/>
      <c r="L66" s="379"/>
      <c r="M66" s="379"/>
      <c r="N66" s="379"/>
      <c r="O66" s="379"/>
      <c r="V66" s="448"/>
      <c r="W66" s="448"/>
      <c r="X66" s="449"/>
      <c r="Y66" s="449"/>
      <c r="Z66" s="449"/>
      <c r="AA66" s="449"/>
    </row>
    <row r="67" spans="1:32">
      <c r="B67" s="366" t="s">
        <v>888</v>
      </c>
      <c r="C67">
        <v>13</v>
      </c>
      <c r="E67" s="432">
        <f>($J$39)^(C67)</f>
        <v>1.9352686785709756</v>
      </c>
      <c r="H67" s="366" t="s">
        <v>901</v>
      </c>
      <c r="J67" s="366" t="s">
        <v>904</v>
      </c>
      <c r="K67" s="543">
        <f>FlujoGastos!BN42</f>
        <v>364334.49595744163</v>
      </c>
      <c r="L67" s="543"/>
      <c r="M67" s="543"/>
      <c r="N67" s="543"/>
      <c r="O67" s="543"/>
      <c r="Q67" s="368" t="s">
        <v>905</v>
      </c>
      <c r="R67" s="368"/>
      <c r="S67" s="368"/>
      <c r="T67" s="368"/>
      <c r="U67" s="369" t="s">
        <v>904</v>
      </c>
      <c r="V67" s="545">
        <f>FlujoGastos!BN52</f>
        <v>1074000.0499130115</v>
      </c>
      <c r="W67" s="545"/>
      <c r="X67" s="545"/>
      <c r="Y67" s="545"/>
      <c r="Z67" s="545"/>
      <c r="AA67" s="545"/>
    </row>
    <row r="68" spans="1:32" ht="4.95" customHeight="1">
      <c r="K68" s="379"/>
      <c r="L68" s="379"/>
      <c r="M68" s="379"/>
      <c r="N68" s="379"/>
      <c r="O68" s="379"/>
      <c r="V68" s="448"/>
      <c r="W68" s="448"/>
      <c r="X68" s="449"/>
      <c r="Y68" s="449"/>
      <c r="Z68" s="449"/>
      <c r="AA68" s="449"/>
    </row>
    <row r="69" spans="1:32">
      <c r="B69" s="366" t="s">
        <v>888</v>
      </c>
      <c r="C69">
        <v>14</v>
      </c>
      <c r="E69" s="432">
        <f>($J$39)^(C69)</f>
        <v>2.0360961767245236</v>
      </c>
      <c r="H69" s="366" t="s">
        <v>902</v>
      </c>
      <c r="J69" s="366" t="s">
        <v>904</v>
      </c>
      <c r="K69" s="543">
        <f>FlujoGastos!BR42</f>
        <v>364334.49595744163</v>
      </c>
      <c r="L69" s="543"/>
      <c r="M69" s="543"/>
      <c r="N69" s="543"/>
      <c r="O69" s="543"/>
      <c r="Q69" s="368" t="s">
        <v>905</v>
      </c>
      <c r="R69" s="368"/>
      <c r="S69" s="368"/>
      <c r="T69" s="368"/>
      <c r="U69" s="369" t="s">
        <v>904</v>
      </c>
      <c r="V69" s="545">
        <f>FlujoGastos!BR52</f>
        <v>1252937.8133263036</v>
      </c>
      <c r="W69" s="545"/>
      <c r="X69" s="545"/>
      <c r="Y69" s="545"/>
      <c r="Z69" s="545"/>
      <c r="AA69" s="545"/>
    </row>
    <row r="70" spans="1:32" ht="4.95" customHeight="1">
      <c r="K70" s="379"/>
      <c r="L70" s="379"/>
      <c r="M70" s="379"/>
      <c r="N70" s="379"/>
      <c r="O70" s="379"/>
      <c r="V70" s="448"/>
      <c r="W70" s="448"/>
      <c r="X70" s="449"/>
      <c r="Y70" s="449"/>
      <c r="Z70" s="449"/>
      <c r="AA70" s="449"/>
    </row>
    <row r="71" spans="1:32">
      <c r="B71" s="366" t="s">
        <v>888</v>
      </c>
      <c r="C71">
        <v>15</v>
      </c>
      <c r="E71" s="432">
        <f>($J$39)^(C71)</f>
        <v>2.1421767875318718</v>
      </c>
      <c r="H71" s="366" t="s">
        <v>903</v>
      </c>
      <c r="J71" s="366" t="s">
        <v>904</v>
      </c>
      <c r="K71" s="543">
        <f>FlujoGastos!BV42</f>
        <v>364334.49595744163</v>
      </c>
      <c r="L71" s="543"/>
      <c r="M71" s="543"/>
      <c r="N71" s="543"/>
      <c r="O71" s="543"/>
      <c r="Q71" s="368" t="s">
        <v>905</v>
      </c>
      <c r="R71" s="368"/>
      <c r="S71" s="368"/>
      <c r="T71" s="368"/>
      <c r="U71" s="369" t="s">
        <v>904</v>
      </c>
      <c r="V71" s="545">
        <f>FlujoGastos!BV52</f>
        <v>1423014.5773347556</v>
      </c>
      <c r="W71" s="545"/>
      <c r="X71" s="545"/>
      <c r="Y71" s="545"/>
      <c r="Z71" s="545"/>
      <c r="AA71" s="545"/>
    </row>
    <row r="72" spans="1:32" ht="4.95" customHeight="1"/>
    <row r="73" spans="1:32">
      <c r="B73" s="434"/>
      <c r="C73" s="434" t="s">
        <v>989</v>
      </c>
      <c r="D73" s="434"/>
      <c r="E73" s="434"/>
      <c r="F73" s="434"/>
      <c r="G73" s="434"/>
      <c r="H73" s="434"/>
      <c r="I73" s="434"/>
      <c r="J73" s="434"/>
      <c r="K73" s="434"/>
      <c r="L73" s="434"/>
      <c r="M73" s="434"/>
      <c r="N73" s="434"/>
      <c r="O73" s="434"/>
      <c r="P73" s="434"/>
      <c r="Q73" s="434"/>
      <c r="R73" s="434"/>
      <c r="S73" s="434"/>
      <c r="T73" s="434"/>
      <c r="U73" s="434"/>
      <c r="V73" s="548" cm="1">
        <f t="array" ref="V73">IF(V43&gt;0,C43,IF(V45&gt;0,C45,IF(V47&gt;0,C47,IF(V49&gt;0,C49,IF(V51&gt;0,C51,IF(V53&gt;0,C53,IF(V55&gt;0,C55,IF(V57&gt;0,C57,IF(V59&gt;0,C59,IF(V61&gt;0,C61,IF(V63&gt;0,C63,IF(V65&gt;0,C65,IF(V67&gt;0,C67,IF(V69&gt;0,C69,IF(V71&gt;0,C71,No)))))))))))))))</f>
        <v>8</v>
      </c>
      <c r="W73" s="548"/>
      <c r="X73" s="548"/>
      <c r="Y73" s="548"/>
      <c r="Z73" s="548"/>
      <c r="AA73" s="548"/>
    </row>
    <row r="74" spans="1:32" ht="4.95" customHeight="1"/>
    <row r="75" spans="1:32" ht="14.4">
      <c r="A75" s="549" t="s">
        <v>947</v>
      </c>
      <c r="B75" s="550"/>
      <c r="C75" s="550"/>
      <c r="D75" s="550"/>
      <c r="E75" s="550"/>
      <c r="F75" s="550"/>
      <c r="G75" s="550"/>
      <c r="H75" s="550"/>
      <c r="I75" s="550"/>
      <c r="J75" s="550"/>
      <c r="K75" s="550"/>
      <c r="L75" s="550"/>
      <c r="M75" s="550"/>
      <c r="N75" s="550"/>
      <c r="O75" s="550"/>
      <c r="P75" s="550"/>
      <c r="Q75" s="550"/>
      <c r="R75" s="550"/>
      <c r="S75" s="550"/>
      <c r="T75" s="550"/>
      <c r="U75" s="550"/>
      <c r="V75" s="550"/>
      <c r="W75" s="550"/>
      <c r="X75" s="550"/>
      <c r="Y75" s="550"/>
      <c r="Z75" s="550"/>
      <c r="AA75" s="550"/>
      <c r="AB75" s="550"/>
      <c r="AC75" s="550"/>
      <c r="AD75" s="550"/>
      <c r="AE75" s="550"/>
      <c r="AF75" s="550"/>
    </row>
    <row r="77" spans="1:32">
      <c r="B77" s="408" t="s">
        <v>945</v>
      </c>
      <c r="C77" s="408"/>
      <c r="D77" s="408"/>
      <c r="E77" s="408"/>
      <c r="F77" s="408"/>
      <c r="G77" s="408"/>
      <c r="H77" s="408"/>
      <c r="I77" s="408"/>
      <c r="J77" s="408"/>
      <c r="K77" s="408"/>
      <c r="L77" s="408"/>
      <c r="O77" s="546">
        <f>EstructuraCostesAnualidad_1!AN17</f>
        <v>2380969.7994140624</v>
      </c>
      <c r="P77" s="546"/>
      <c r="Q77" s="546"/>
      <c r="R77" s="546"/>
      <c r="S77" s="546"/>
      <c r="T77" s="546"/>
      <c r="U77" s="546"/>
    </row>
    <row r="79" spans="1:32">
      <c r="B79" s="408" t="s">
        <v>946</v>
      </c>
      <c r="C79" s="408"/>
      <c r="D79" s="408"/>
      <c r="E79" s="408"/>
      <c r="F79" s="408"/>
      <c r="G79" s="408"/>
      <c r="H79" s="408"/>
      <c r="I79" s="408"/>
      <c r="J79" s="408"/>
      <c r="K79" s="408"/>
      <c r="L79" s="408"/>
      <c r="M79" s="408"/>
      <c r="P79" s="547">
        <f>O77/PresupuestoBaseLicitación!L19</f>
        <v>4.3794102741639584E-2</v>
      </c>
      <c r="Q79" s="547"/>
      <c r="R79" s="547"/>
      <c r="S79" s="547"/>
      <c r="T79" s="547"/>
      <c r="U79" s="547"/>
    </row>
  </sheetData>
  <mergeCells count="60">
    <mergeCell ref="A1:AF1"/>
    <mergeCell ref="B13:AE16"/>
    <mergeCell ref="D22:L22"/>
    <mergeCell ref="O22:W22"/>
    <mergeCell ref="D23:M23"/>
    <mergeCell ref="Q23:U23"/>
    <mergeCell ref="D25:M25"/>
    <mergeCell ref="Q25:U25"/>
    <mergeCell ref="D27:M27"/>
    <mergeCell ref="Q27:U27"/>
    <mergeCell ref="D29:M29"/>
    <mergeCell ref="Q29:U29"/>
    <mergeCell ref="V41:AA41"/>
    <mergeCell ref="D31:M31"/>
    <mergeCell ref="Q31:U31"/>
    <mergeCell ref="D33:M33"/>
    <mergeCell ref="Q33:U33"/>
    <mergeCell ref="D35:M35"/>
    <mergeCell ref="Q35:U35"/>
    <mergeCell ref="D37:L37"/>
    <mergeCell ref="Q37:U37"/>
    <mergeCell ref="C39:D39"/>
    <mergeCell ref="J39:K39"/>
    <mergeCell ref="K43:O43"/>
    <mergeCell ref="K41:O41"/>
    <mergeCell ref="V57:AA57"/>
    <mergeCell ref="AE43:AI43"/>
    <mergeCell ref="K45:O45"/>
    <mergeCell ref="V45:AA45"/>
    <mergeCell ref="K47:O47"/>
    <mergeCell ref="V47:AA47"/>
    <mergeCell ref="K51:O51"/>
    <mergeCell ref="V51:AA51"/>
    <mergeCell ref="K49:O49"/>
    <mergeCell ref="V49:AA49"/>
    <mergeCell ref="V43:AA43"/>
    <mergeCell ref="AE41:AI41"/>
    <mergeCell ref="K53:O53"/>
    <mergeCell ref="V53:AA53"/>
    <mergeCell ref="O77:U77"/>
    <mergeCell ref="P79:U79"/>
    <mergeCell ref="K69:O69"/>
    <mergeCell ref="V69:AA69"/>
    <mergeCell ref="K71:O71"/>
    <mergeCell ref="V71:AA71"/>
    <mergeCell ref="V73:AA73"/>
    <mergeCell ref="A75:AF75"/>
    <mergeCell ref="K67:O67"/>
    <mergeCell ref="V67:AA67"/>
    <mergeCell ref="K59:O59"/>
    <mergeCell ref="V59:AA59"/>
    <mergeCell ref="K61:O61"/>
    <mergeCell ref="V61:AA61"/>
    <mergeCell ref="K63:O63"/>
    <mergeCell ref="V63:AA63"/>
    <mergeCell ref="K55:O55"/>
    <mergeCell ref="V55:AA55"/>
    <mergeCell ref="K57:O57"/>
    <mergeCell ref="K65:O65"/>
    <mergeCell ref="V65:AA65"/>
  </mergeCells>
  <conditionalFormatting sqref="P79:U79">
    <cfRule type="cellIs" dxfId="87" priority="10" operator="lessThan">
      <formula>0.01</formula>
    </cfRule>
    <cfRule type="cellIs" dxfId="86" priority="11" operator="greaterThan">
      <formula>0.01</formula>
    </cfRule>
  </conditionalFormatting>
  <conditionalFormatting sqref="V41">
    <cfRule type="cellIs" dxfId="85" priority="7" operator="lessThan">
      <formula>0</formula>
    </cfRule>
    <cfRule type="cellIs" dxfId="84" priority="8" operator="equal">
      <formula>0</formula>
    </cfRule>
    <cfRule type="cellIs" dxfId="83" priority="9" operator="greaterThan">
      <formula>0</formula>
    </cfRule>
  </conditionalFormatting>
  <conditionalFormatting sqref="V43">
    <cfRule type="cellIs" dxfId="82" priority="54" operator="lessThan">
      <formula>0</formula>
    </cfRule>
    <cfRule type="cellIs" dxfId="81" priority="55" operator="equal">
      <formula>0</formula>
    </cfRule>
    <cfRule type="cellIs" dxfId="80" priority="56" operator="greaterThan">
      <formula>0</formula>
    </cfRule>
  </conditionalFormatting>
  <conditionalFormatting sqref="V45">
    <cfRule type="cellIs" dxfId="79" priority="51" operator="lessThan">
      <formula>0</formula>
    </cfRule>
    <cfRule type="cellIs" dxfId="78" priority="52" operator="equal">
      <formula>0</formula>
    </cfRule>
    <cfRule type="cellIs" dxfId="77" priority="53" operator="greaterThan">
      <formula>0</formula>
    </cfRule>
  </conditionalFormatting>
  <conditionalFormatting sqref="V47">
    <cfRule type="cellIs" dxfId="76" priority="48" operator="lessThan">
      <formula>0</formula>
    </cfRule>
    <cfRule type="cellIs" dxfId="75" priority="49" operator="equal">
      <formula>0</formula>
    </cfRule>
    <cfRule type="cellIs" dxfId="74" priority="50" operator="greaterThan">
      <formula>0</formula>
    </cfRule>
  </conditionalFormatting>
  <conditionalFormatting sqref="V49">
    <cfRule type="cellIs" dxfId="73" priority="45" operator="lessThan">
      <formula>0</formula>
    </cfRule>
    <cfRule type="cellIs" dxfId="72" priority="46" operator="equal">
      <formula>0</formula>
    </cfRule>
    <cfRule type="cellIs" dxfId="71" priority="47" operator="greaterThan">
      <formula>0</formula>
    </cfRule>
  </conditionalFormatting>
  <conditionalFormatting sqref="V51">
    <cfRule type="cellIs" dxfId="70" priority="42" operator="lessThan">
      <formula>0</formula>
    </cfRule>
    <cfRule type="cellIs" dxfId="69" priority="43" operator="equal">
      <formula>0</formula>
    </cfRule>
    <cfRule type="cellIs" dxfId="68" priority="44" operator="greaterThan">
      <formula>0</formula>
    </cfRule>
  </conditionalFormatting>
  <conditionalFormatting sqref="V53">
    <cfRule type="cellIs" dxfId="67" priority="39" operator="lessThan">
      <formula>0</formula>
    </cfRule>
    <cfRule type="cellIs" dxfId="66" priority="40" operator="equal">
      <formula>0</formula>
    </cfRule>
    <cfRule type="cellIs" dxfId="65" priority="41" operator="greaterThan">
      <formula>0</formula>
    </cfRule>
  </conditionalFormatting>
  <conditionalFormatting sqref="V55">
    <cfRule type="cellIs" dxfId="64" priority="36" operator="lessThan">
      <formula>0</formula>
    </cfRule>
    <cfRule type="cellIs" dxfId="63" priority="37" operator="equal">
      <formula>0</formula>
    </cfRule>
    <cfRule type="cellIs" dxfId="62" priority="38" operator="greaterThan">
      <formula>0</formula>
    </cfRule>
  </conditionalFormatting>
  <conditionalFormatting sqref="V57">
    <cfRule type="cellIs" dxfId="61" priority="1" operator="lessThan">
      <formula>0</formula>
    </cfRule>
    <cfRule type="cellIs" dxfId="60" priority="2" operator="equal">
      <formula>0</formula>
    </cfRule>
    <cfRule type="cellIs" dxfId="59" priority="3" operator="greaterThan">
      <formula>0</formula>
    </cfRule>
  </conditionalFormatting>
  <conditionalFormatting sqref="V59">
    <cfRule type="cellIs" dxfId="58" priority="4" operator="lessThan">
      <formula>0</formula>
    </cfRule>
    <cfRule type="cellIs" dxfId="57" priority="5" operator="equal">
      <formula>0</formula>
    </cfRule>
    <cfRule type="cellIs" dxfId="56" priority="6" operator="greaterThan">
      <formula>0</formula>
    </cfRule>
  </conditionalFormatting>
  <conditionalFormatting sqref="V61">
    <cfRule type="cellIs" dxfId="55" priority="27" operator="lessThan">
      <formula>0</formula>
    </cfRule>
    <cfRule type="cellIs" dxfId="54" priority="28" operator="equal">
      <formula>0</formula>
    </cfRule>
    <cfRule type="cellIs" dxfId="53" priority="29" operator="greaterThan">
      <formula>0</formula>
    </cfRule>
  </conditionalFormatting>
  <conditionalFormatting sqref="V63">
    <cfRule type="cellIs" dxfId="52" priority="24" operator="lessThan">
      <formula>0</formula>
    </cfRule>
    <cfRule type="cellIs" dxfId="51" priority="25" operator="equal">
      <formula>0</formula>
    </cfRule>
    <cfRule type="cellIs" dxfId="50" priority="26" operator="greaterThan">
      <formula>0</formula>
    </cfRule>
  </conditionalFormatting>
  <conditionalFormatting sqref="V65">
    <cfRule type="cellIs" dxfId="49" priority="21" operator="lessThan">
      <formula>0</formula>
    </cfRule>
    <cfRule type="cellIs" dxfId="48" priority="22" operator="equal">
      <formula>0</formula>
    </cfRule>
    <cfRule type="cellIs" dxfId="47" priority="23" operator="greaterThan">
      <formula>0</formula>
    </cfRule>
  </conditionalFormatting>
  <conditionalFormatting sqref="V67">
    <cfRule type="cellIs" dxfId="46" priority="18" operator="lessThan">
      <formula>0</formula>
    </cfRule>
    <cfRule type="cellIs" dxfId="45" priority="19" operator="equal">
      <formula>0</formula>
    </cfRule>
    <cfRule type="cellIs" dxfId="44" priority="20" operator="greaterThan">
      <formula>0</formula>
    </cfRule>
  </conditionalFormatting>
  <conditionalFormatting sqref="V69">
    <cfRule type="cellIs" dxfId="43" priority="15" operator="lessThan">
      <formula>0</formula>
    </cfRule>
    <cfRule type="cellIs" dxfId="42" priority="16" operator="equal">
      <formula>0</formula>
    </cfRule>
    <cfRule type="cellIs" dxfId="41" priority="17" operator="greaterThan">
      <formula>0</formula>
    </cfRule>
  </conditionalFormatting>
  <conditionalFormatting sqref="V71">
    <cfRule type="cellIs" dxfId="40" priority="12" operator="lessThan">
      <formula>0</formula>
    </cfRule>
    <cfRule type="cellIs" dxfId="39" priority="13" operator="equal">
      <formula>0</formula>
    </cfRule>
    <cfRule type="cellIs" dxfId="38" priority="14" operator="greaterThan">
      <formula>0</formula>
    </cfRule>
  </conditionalFormatting>
  <hyperlinks>
    <hyperlink ref="AH22" r:id="rId1" xr:uid="{00000000-0004-0000-0500-000000000000}"/>
  </hyperlinks>
  <pageMargins left="0.7" right="0.7" top="0.75" bottom="0.75" header="0.3" footer="0.3"/>
  <pageSetup paperSize="9" scale="96"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0.249977111117893"/>
    <pageSetUpPr fitToPage="1"/>
  </sheetPr>
  <dimension ref="A1:M14"/>
  <sheetViews>
    <sheetView showGridLines="0" workbookViewId="0">
      <selection sqref="A1:I1"/>
    </sheetView>
  </sheetViews>
  <sheetFormatPr baseColWidth="10" defaultColWidth="11.44140625" defaultRowHeight="13.8"/>
  <cols>
    <col min="1" max="1" width="12.5546875" style="84" customWidth="1"/>
    <col min="2" max="2" width="26.109375" style="85" customWidth="1"/>
    <col min="3" max="3" width="9.6640625" style="85" customWidth="1"/>
    <col min="4" max="4" width="15.33203125" style="84" customWidth="1"/>
    <col min="5" max="5" width="19.33203125" style="85" customWidth="1"/>
    <col min="6" max="6" width="19.33203125" style="85" hidden="1" customWidth="1"/>
    <col min="7" max="7" width="23.88671875" style="85" customWidth="1"/>
    <col min="8" max="8" width="23.88671875" style="85" hidden="1" customWidth="1"/>
    <col min="9" max="9" width="20.6640625" style="85" customWidth="1"/>
    <col min="10" max="16384" width="11.44140625" style="85"/>
  </cols>
  <sheetData>
    <row r="1" spans="1:13" ht="18.75" customHeight="1">
      <c r="A1" s="867" t="s">
        <v>547</v>
      </c>
      <c r="B1" s="868"/>
      <c r="C1" s="868"/>
      <c r="D1" s="868"/>
      <c r="E1" s="868"/>
      <c r="F1" s="868"/>
      <c r="G1" s="868"/>
      <c r="H1" s="868"/>
      <c r="I1" s="869"/>
    </row>
    <row r="2" spans="1:13" ht="37.200000000000003" customHeight="1">
      <c r="A2" s="23" t="s">
        <v>548</v>
      </c>
      <c r="B2" s="5" t="s">
        <v>294</v>
      </c>
      <c r="C2" s="5" t="s">
        <v>549</v>
      </c>
      <c r="D2" s="5" t="s">
        <v>550</v>
      </c>
      <c r="E2" s="5" t="s">
        <v>551</v>
      </c>
      <c r="F2" s="441" t="s">
        <v>996</v>
      </c>
      <c r="G2" s="86" t="s">
        <v>552</v>
      </c>
      <c r="H2" s="441" t="s">
        <v>1008</v>
      </c>
      <c r="I2" s="24" t="s">
        <v>553</v>
      </c>
    </row>
    <row r="3" spans="1:13" ht="20.100000000000001" customHeight="1">
      <c r="A3" s="264"/>
      <c r="B3" s="265" t="s">
        <v>554</v>
      </c>
      <c r="C3" s="266"/>
      <c r="D3" s="267"/>
      <c r="E3" s="266"/>
      <c r="F3" s="266"/>
      <c r="G3" s="266">
        <f>'C. Resumen Costes Vest_Util_Her'!$D$11</f>
        <v>0.05</v>
      </c>
      <c r="H3" s="266"/>
      <c r="I3" s="268"/>
      <c r="J3" s="87"/>
    </row>
    <row r="4" spans="1:13" ht="15.75" customHeight="1">
      <c r="A4" s="88">
        <f>M4</f>
        <v>87</v>
      </c>
      <c r="B4" s="9" t="s">
        <v>555</v>
      </c>
      <c r="C4" s="62">
        <f>17</f>
        <v>17</v>
      </c>
      <c r="D4" s="8">
        <v>1</v>
      </c>
      <c r="E4" s="62">
        <f>17</f>
        <v>17</v>
      </c>
      <c r="F4" s="62">
        <f>E4*A4</f>
        <v>1479</v>
      </c>
      <c r="G4" s="62">
        <f>E4*$G$3</f>
        <v>0.85000000000000009</v>
      </c>
      <c r="H4" s="440">
        <f>G4*A4</f>
        <v>73.95</v>
      </c>
      <c r="I4" s="34">
        <f>E4*A4+A4*G4</f>
        <v>1552.95</v>
      </c>
      <c r="J4" s="87"/>
      <c r="K4" s="870" t="s">
        <v>109</v>
      </c>
      <c r="L4" s="871"/>
      <c r="M4" s="45">
        <f>'A. Resumen Costes Personal'!J20+'A. Resumen Costes Personal'!J21+'A. Resumen Costes Personal'!J22+'A. Resumen Costes Personal'!J23+'A. Resumen Costes Personal'!J24</f>
        <v>87</v>
      </c>
    </row>
    <row r="5" spans="1:13" ht="15.75" customHeight="1">
      <c r="A5" s="88">
        <f>M4</f>
        <v>87</v>
      </c>
      <c r="B5" s="9" t="s">
        <v>556</v>
      </c>
      <c r="C5" s="62">
        <f>20</f>
        <v>20</v>
      </c>
      <c r="D5" s="8">
        <v>1</v>
      </c>
      <c r="E5" s="62">
        <f>20</f>
        <v>20</v>
      </c>
      <c r="F5" s="62">
        <f>E5*A5</f>
        <v>1740</v>
      </c>
      <c r="G5" s="62">
        <f>E5*$G$3</f>
        <v>1</v>
      </c>
      <c r="H5" s="440">
        <f>G5*A5</f>
        <v>87</v>
      </c>
      <c r="I5" s="34">
        <f>E5*A5+A5*G5</f>
        <v>1827</v>
      </c>
      <c r="J5" s="87"/>
      <c r="K5" s="870" t="s">
        <v>557</v>
      </c>
      <c r="L5" s="871"/>
      <c r="M5" s="45">
        <f>SUM('A.1_Tabla Costes Subrogación'!A129)+SUM('A.2_Tabla Costes Nueva Contr'!A26)</f>
        <v>1</v>
      </c>
    </row>
    <row r="6" spans="1:13" ht="15.75" customHeight="1">
      <c r="A6" s="88">
        <f>M4</f>
        <v>87</v>
      </c>
      <c r="B6" s="9" t="s">
        <v>558</v>
      </c>
      <c r="C6" s="62">
        <f>14</f>
        <v>14</v>
      </c>
      <c r="D6" s="8">
        <v>1</v>
      </c>
      <c r="E6" s="62">
        <f>14</f>
        <v>14</v>
      </c>
      <c r="F6" s="62">
        <f>E6*A6</f>
        <v>1218</v>
      </c>
      <c r="G6" s="62">
        <f>E6*$G$3</f>
        <v>0.70000000000000007</v>
      </c>
      <c r="H6" s="440">
        <f>G6*A6</f>
        <v>60.900000000000006</v>
      </c>
      <c r="I6" s="34">
        <f>E6*A6+A6*G6</f>
        <v>1278.9000000000001</v>
      </c>
      <c r="J6" s="87"/>
      <c r="K6" s="870" t="s">
        <v>559</v>
      </c>
      <c r="L6" s="871"/>
      <c r="M6" s="45">
        <f>'A. Resumen Costes Personal'!J25</f>
        <v>3</v>
      </c>
    </row>
    <row r="7" spans="1:13" ht="15.75" customHeight="1">
      <c r="A7" s="88">
        <f>M4</f>
        <v>87</v>
      </c>
      <c r="B7" s="9" t="s">
        <v>560</v>
      </c>
      <c r="C7" s="62">
        <f>18</f>
        <v>18</v>
      </c>
      <c r="D7" s="8">
        <v>1</v>
      </c>
      <c r="E7" s="62">
        <f>18</f>
        <v>18</v>
      </c>
      <c r="F7" s="62">
        <f>E7*A7</f>
        <v>1566</v>
      </c>
      <c r="G7" s="62">
        <f>E7*$G$3</f>
        <v>0.9</v>
      </c>
      <c r="H7" s="440">
        <f>G7*A7</f>
        <v>78.3</v>
      </c>
      <c r="I7" s="34">
        <f>E7*A7+A7*G7</f>
        <v>1644.3</v>
      </c>
      <c r="J7" s="87"/>
    </row>
    <row r="8" spans="1:13" ht="20.100000000000001" customHeight="1">
      <c r="A8" s="264"/>
      <c r="B8" s="265" t="s">
        <v>561</v>
      </c>
      <c r="C8" s="266"/>
      <c r="D8" s="267"/>
      <c r="E8" s="266"/>
      <c r="F8" s="266"/>
      <c r="G8" s="266"/>
      <c r="H8" s="266"/>
      <c r="I8" s="269"/>
      <c r="J8" s="87"/>
    </row>
    <row r="9" spans="1:13" ht="15.75" customHeight="1">
      <c r="A9" s="88">
        <f>M4</f>
        <v>87</v>
      </c>
      <c r="B9" s="9" t="s">
        <v>562</v>
      </c>
      <c r="C9" s="62">
        <f>20</f>
        <v>20</v>
      </c>
      <c r="D9" s="8">
        <v>1</v>
      </c>
      <c r="E9" s="62">
        <f>20</f>
        <v>20</v>
      </c>
      <c r="F9" s="62">
        <f>E9*A9</f>
        <v>1740</v>
      </c>
      <c r="G9" s="62">
        <f>E9*$G$3</f>
        <v>1</v>
      </c>
      <c r="H9" s="440">
        <f>G9*A9</f>
        <v>87</v>
      </c>
      <c r="I9" s="34">
        <f>E9*A9+A9*G9</f>
        <v>1827</v>
      </c>
      <c r="J9" s="87"/>
    </row>
    <row r="10" spans="1:13" ht="15.75" customHeight="1">
      <c r="A10" s="88">
        <f>M4</f>
        <v>87</v>
      </c>
      <c r="B10" s="9" t="s">
        <v>563</v>
      </c>
      <c r="C10" s="62">
        <f>23</f>
        <v>23</v>
      </c>
      <c r="D10" s="8">
        <v>1</v>
      </c>
      <c r="E10" s="62">
        <f>23</f>
        <v>23</v>
      </c>
      <c r="F10" s="62">
        <f>E10*A10</f>
        <v>2001</v>
      </c>
      <c r="G10" s="62">
        <f>E10*$G$3</f>
        <v>1.1500000000000001</v>
      </c>
      <c r="H10" s="440">
        <f>G10*A10</f>
        <v>100.05000000000001</v>
      </c>
      <c r="I10" s="34">
        <f>E10*A10+A10*G10</f>
        <v>2101.0500000000002</v>
      </c>
      <c r="J10" s="87"/>
    </row>
    <row r="11" spans="1:13" ht="15.75" customHeight="1">
      <c r="A11" s="88">
        <f>M4</f>
        <v>87</v>
      </c>
      <c r="B11" s="9" t="s">
        <v>564</v>
      </c>
      <c r="C11" s="62">
        <f>28</f>
        <v>28</v>
      </c>
      <c r="D11" s="8">
        <v>1</v>
      </c>
      <c r="E11" s="62">
        <f>28</f>
        <v>28</v>
      </c>
      <c r="F11" s="62">
        <f>E11*A11</f>
        <v>2436</v>
      </c>
      <c r="G11" s="62">
        <f>E11*$G$3</f>
        <v>1.4000000000000001</v>
      </c>
      <c r="H11" s="440">
        <f>G11*A11</f>
        <v>121.80000000000001</v>
      </c>
      <c r="I11" s="34">
        <f>E11*A11+A11*G11</f>
        <v>2557.8000000000002</v>
      </c>
      <c r="J11" s="87"/>
    </row>
    <row r="12" spans="1:13" ht="15.75" customHeight="1">
      <c r="A12" s="88">
        <f>M4+M6</f>
        <v>90</v>
      </c>
      <c r="B12" s="9" t="s">
        <v>565</v>
      </c>
      <c r="C12" s="62">
        <f>45</f>
        <v>45</v>
      </c>
      <c r="D12" s="8">
        <v>1</v>
      </c>
      <c r="E12" s="62">
        <f>45</f>
        <v>45</v>
      </c>
      <c r="F12" s="62">
        <f>E12*A12</f>
        <v>4050</v>
      </c>
      <c r="G12" s="62">
        <f>E12*$G$3</f>
        <v>2.25</v>
      </c>
      <c r="H12" s="440">
        <f>G12*A12</f>
        <v>202.5</v>
      </c>
      <c r="I12" s="34">
        <f>E12*A12+A12*G12</f>
        <v>4252.5</v>
      </c>
      <c r="J12" s="87"/>
    </row>
    <row r="13" spans="1:13" ht="15.75" customHeight="1">
      <c r="A13" s="88">
        <f>M4+M6</f>
        <v>90</v>
      </c>
      <c r="B13" s="9" t="s">
        <v>558</v>
      </c>
      <c r="C13" s="62">
        <f>17</f>
        <v>17</v>
      </c>
      <c r="D13" s="8">
        <v>1</v>
      </c>
      <c r="E13" s="62">
        <f>17</f>
        <v>17</v>
      </c>
      <c r="F13" s="62">
        <f>E13*A13</f>
        <v>1530</v>
      </c>
      <c r="G13" s="62">
        <f>E13*$G$3</f>
        <v>0.85000000000000009</v>
      </c>
      <c r="H13" s="440">
        <f>G13*A13</f>
        <v>76.500000000000014</v>
      </c>
      <c r="I13" s="34">
        <f>E13*A13+A13*G13</f>
        <v>1606.5</v>
      </c>
      <c r="J13" s="87"/>
    </row>
    <row r="14" spans="1:13" ht="20.100000000000001" customHeight="1">
      <c r="A14" s="477"/>
      <c r="B14" s="478"/>
      <c r="C14" s="478"/>
      <c r="D14" s="479"/>
      <c r="E14" s="480" t="s">
        <v>47</v>
      </c>
      <c r="F14" s="481">
        <f>SUM(F4:F13)</f>
        <v>17760</v>
      </c>
      <c r="G14" s="482"/>
      <c r="H14" s="481">
        <f>SUM(H4:H13)</f>
        <v>888</v>
      </c>
      <c r="I14" s="483">
        <f>SUM(I4:I13)</f>
        <v>18648</v>
      </c>
    </row>
  </sheetData>
  <mergeCells count="4">
    <mergeCell ref="A1:I1"/>
    <mergeCell ref="K6:L6"/>
    <mergeCell ref="K4:L4"/>
    <mergeCell ref="K5:L5"/>
  </mergeCells>
  <printOptions horizontalCentered="1"/>
  <pageMargins left="0.78740157480314998" right="0.59055118110236204" top="0.78740157480314998" bottom="0.59055118110236204" header="0" footer="0"/>
  <pageSetup paperSize="9" scale="7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0.249977111117893"/>
    <pageSetUpPr fitToPage="1"/>
  </sheetPr>
  <dimension ref="A1:O47"/>
  <sheetViews>
    <sheetView showGridLines="0" workbookViewId="0">
      <selection activeCell="C1" sqref="C1:K1"/>
    </sheetView>
  </sheetViews>
  <sheetFormatPr baseColWidth="10" defaultColWidth="11.44140625" defaultRowHeight="11.4"/>
  <cols>
    <col min="1" max="1" width="11.44140625" style="40"/>
    <col min="2" max="2" width="1.109375" style="17" customWidth="1"/>
    <col min="3" max="3" width="11.44140625" style="17"/>
    <col min="4" max="4" width="26.6640625" style="17" customWidth="1"/>
    <col min="5" max="5" width="14.109375" style="40" customWidth="1"/>
    <col min="6" max="6" width="11.109375" style="40" customWidth="1"/>
    <col min="7" max="7" width="15.5546875" style="75" customWidth="1"/>
    <col min="8" max="8" width="15.5546875" style="75" hidden="1" customWidth="1"/>
    <col min="9" max="9" width="8.88671875" style="76" customWidth="1"/>
    <col min="10" max="10" width="16.5546875" style="76" hidden="1" customWidth="1"/>
    <col min="11" max="11" width="10.6640625" style="75" customWidth="1"/>
    <col min="12" max="16384" width="11.44140625" style="17"/>
  </cols>
  <sheetData>
    <row r="1" spans="1:15" ht="15.6">
      <c r="B1" s="21"/>
      <c r="C1" s="867" t="s">
        <v>566</v>
      </c>
      <c r="D1" s="868"/>
      <c r="E1" s="868"/>
      <c r="F1" s="868"/>
      <c r="G1" s="868"/>
      <c r="H1" s="868"/>
      <c r="I1" s="868"/>
      <c r="J1" s="868"/>
      <c r="K1" s="869"/>
    </row>
    <row r="2" spans="1:15" ht="43.2">
      <c r="A2" s="41" t="s">
        <v>567</v>
      </c>
      <c r="B2" s="22"/>
      <c r="C2" s="23" t="s">
        <v>548</v>
      </c>
      <c r="D2" s="5" t="s">
        <v>294</v>
      </c>
      <c r="E2" s="5" t="s">
        <v>549</v>
      </c>
      <c r="F2" s="5" t="s">
        <v>550</v>
      </c>
      <c r="G2" s="5" t="s">
        <v>551</v>
      </c>
      <c r="H2" s="441" t="s">
        <v>996</v>
      </c>
      <c r="I2" s="5" t="s">
        <v>552</v>
      </c>
      <c r="J2" s="441" t="s">
        <v>1009</v>
      </c>
      <c r="K2" s="24" t="s">
        <v>553</v>
      </c>
      <c r="N2" s="81"/>
      <c r="O2" s="82"/>
    </row>
    <row r="3" spans="1:15" s="74" customFormat="1" ht="17.100000000000001" customHeight="1">
      <c r="A3" s="274"/>
      <c r="B3" s="77"/>
      <c r="C3" s="275"/>
      <c r="D3" s="265" t="s">
        <v>568</v>
      </c>
      <c r="E3" s="265"/>
      <c r="F3" s="274"/>
      <c r="G3" s="265"/>
      <c r="H3" s="265"/>
      <c r="I3" s="276">
        <f>'C. Resumen Costes Vest_Util_Her'!$D$11</f>
        <v>0.05</v>
      </c>
      <c r="J3" s="276"/>
      <c r="K3" s="277"/>
    </row>
    <row r="4" spans="1:15" s="74" customFormat="1" ht="20.100000000000001" customHeight="1">
      <c r="A4" s="42">
        <v>2</v>
      </c>
      <c r="B4" s="78"/>
      <c r="C4" s="56">
        <f>ROUNDUP(O$4*A4/10,0)</f>
        <v>18</v>
      </c>
      <c r="D4" s="6" t="s">
        <v>569</v>
      </c>
      <c r="E4" s="7">
        <v>31</v>
      </c>
      <c r="F4" s="8">
        <v>4</v>
      </c>
      <c r="G4" s="7">
        <f>E4/F4</f>
        <v>7.75</v>
      </c>
      <c r="H4" s="7">
        <f>G4*C4</f>
        <v>139.5</v>
      </c>
      <c r="I4" s="7">
        <f>G4*$I$3</f>
        <v>0.38750000000000001</v>
      </c>
      <c r="J4" s="442">
        <f>I4*C4</f>
        <v>6.9750000000000005</v>
      </c>
      <c r="K4" s="34">
        <f>C4*(G4+I4)</f>
        <v>146.47499999999999</v>
      </c>
      <c r="M4" s="870" t="s">
        <v>109</v>
      </c>
      <c r="N4" s="871"/>
      <c r="O4" s="45">
        <f>'C.1.1.Vestuario_Equip'!M4</f>
        <v>87</v>
      </c>
    </row>
    <row r="5" spans="1:15" s="74" customFormat="1" ht="20.100000000000001" customHeight="1">
      <c r="A5" s="42">
        <v>5</v>
      </c>
      <c r="B5" s="78"/>
      <c r="C5" s="56">
        <f t="shared" ref="C5:C13" si="0">ROUNDUP(O$4*A5/10,0)</f>
        <v>44</v>
      </c>
      <c r="D5" s="9" t="s">
        <v>570</v>
      </c>
      <c r="E5" s="7">
        <v>6.5</v>
      </c>
      <c r="F5" s="8">
        <v>2</v>
      </c>
      <c r="G5" s="7">
        <f t="shared" ref="G5:G33" si="1">E5/F5</f>
        <v>3.25</v>
      </c>
      <c r="H5" s="7">
        <f t="shared" ref="H5:H13" si="2">G5*C5</f>
        <v>143</v>
      </c>
      <c r="I5" s="7">
        <f t="shared" ref="I5:I13" si="3">G5*$I$3</f>
        <v>0.16250000000000001</v>
      </c>
      <c r="J5" s="442">
        <f t="shared" ref="J5:J13" si="4">I5*C5</f>
        <v>7.15</v>
      </c>
      <c r="K5" s="34">
        <f>C5*(G5+I5)</f>
        <v>150.15</v>
      </c>
      <c r="M5" s="870" t="s">
        <v>557</v>
      </c>
      <c r="N5" s="871"/>
      <c r="O5" s="45">
        <f>'C.1.1.Vestuario_Equip'!M5</f>
        <v>1</v>
      </c>
    </row>
    <row r="6" spans="1:15" s="74" customFormat="1" ht="20.100000000000001" customHeight="1">
      <c r="A6" s="42">
        <v>1</v>
      </c>
      <c r="B6" s="78"/>
      <c r="C6" s="56">
        <f t="shared" si="0"/>
        <v>9</v>
      </c>
      <c r="D6" s="9" t="s">
        <v>571</v>
      </c>
      <c r="E6" s="7">
        <v>67.41</v>
      </c>
      <c r="F6" s="8">
        <v>4</v>
      </c>
      <c r="G6" s="7">
        <f t="shared" si="1"/>
        <v>16.852499999999999</v>
      </c>
      <c r="H6" s="7">
        <f t="shared" si="2"/>
        <v>151.67249999999999</v>
      </c>
      <c r="I6" s="7">
        <f t="shared" si="3"/>
        <v>0.84262499999999996</v>
      </c>
      <c r="J6" s="442">
        <f t="shared" si="4"/>
        <v>7.5836249999999996</v>
      </c>
      <c r="K6" s="34">
        <f t="shared" ref="K6:K33" si="5">C6*(G6+I6)</f>
        <v>159.25612499999997</v>
      </c>
      <c r="M6" s="870" t="s">
        <v>559</v>
      </c>
      <c r="N6" s="871"/>
      <c r="O6" s="45">
        <f>'C.1.1.Vestuario_Equip'!M6</f>
        <v>3</v>
      </c>
    </row>
    <row r="7" spans="1:15" s="74" customFormat="1" ht="20.100000000000001" customHeight="1">
      <c r="A7" s="42">
        <v>1</v>
      </c>
      <c r="B7" s="78"/>
      <c r="C7" s="56">
        <f t="shared" si="0"/>
        <v>9</v>
      </c>
      <c r="D7" s="9" t="s">
        <v>572</v>
      </c>
      <c r="E7" s="7">
        <v>112</v>
      </c>
      <c r="F7" s="8">
        <v>4</v>
      </c>
      <c r="G7" s="7">
        <f t="shared" si="1"/>
        <v>28</v>
      </c>
      <c r="H7" s="7">
        <f t="shared" si="2"/>
        <v>252</v>
      </c>
      <c r="I7" s="7">
        <f t="shared" si="3"/>
        <v>1.4000000000000001</v>
      </c>
      <c r="J7" s="442">
        <f t="shared" si="4"/>
        <v>12.600000000000001</v>
      </c>
      <c r="K7" s="34">
        <f t="shared" si="5"/>
        <v>264.59999999999997</v>
      </c>
    </row>
    <row r="8" spans="1:15" s="74" customFormat="1" ht="20.100000000000001" customHeight="1">
      <c r="A8" s="42">
        <v>2</v>
      </c>
      <c r="B8" s="78"/>
      <c r="C8" s="56">
        <f t="shared" si="0"/>
        <v>18</v>
      </c>
      <c r="D8" s="9" t="s">
        <v>573</v>
      </c>
      <c r="E8" s="7">
        <v>112</v>
      </c>
      <c r="F8" s="8">
        <v>4</v>
      </c>
      <c r="G8" s="7">
        <f t="shared" si="1"/>
        <v>28</v>
      </c>
      <c r="H8" s="7">
        <f t="shared" si="2"/>
        <v>504</v>
      </c>
      <c r="I8" s="7">
        <f t="shared" si="3"/>
        <v>1.4000000000000001</v>
      </c>
      <c r="J8" s="442">
        <f t="shared" si="4"/>
        <v>25.200000000000003</v>
      </c>
      <c r="K8" s="34">
        <f t="shared" si="5"/>
        <v>529.19999999999993</v>
      </c>
    </row>
    <row r="9" spans="1:15" s="74" customFormat="1" ht="20.100000000000001" customHeight="1">
      <c r="A9" s="42">
        <v>10</v>
      </c>
      <c r="B9" s="78"/>
      <c r="C9" s="56">
        <f t="shared" si="0"/>
        <v>87</v>
      </c>
      <c r="D9" s="9" t="s">
        <v>574</v>
      </c>
      <c r="E9" s="7">
        <v>2</v>
      </c>
      <c r="F9" s="8">
        <v>1</v>
      </c>
      <c r="G9" s="7">
        <f t="shared" si="1"/>
        <v>2</v>
      </c>
      <c r="H9" s="7">
        <f t="shared" si="2"/>
        <v>174</v>
      </c>
      <c r="I9" s="7">
        <f t="shared" si="3"/>
        <v>0.1</v>
      </c>
      <c r="J9" s="442">
        <f t="shared" si="4"/>
        <v>8.7000000000000011</v>
      </c>
      <c r="K9" s="34">
        <f t="shared" si="5"/>
        <v>182.70000000000002</v>
      </c>
    </row>
    <row r="10" spans="1:15" s="74" customFormat="1" ht="20.100000000000001" customHeight="1">
      <c r="A10" s="42">
        <v>2</v>
      </c>
      <c r="B10" s="78"/>
      <c r="C10" s="56">
        <f t="shared" si="0"/>
        <v>18</v>
      </c>
      <c r="D10" s="9" t="s">
        <v>575</v>
      </c>
      <c r="E10" s="7">
        <v>20</v>
      </c>
      <c r="F10" s="8">
        <v>4</v>
      </c>
      <c r="G10" s="7">
        <f t="shared" si="1"/>
        <v>5</v>
      </c>
      <c r="H10" s="7">
        <f t="shared" si="2"/>
        <v>90</v>
      </c>
      <c r="I10" s="7">
        <f t="shared" si="3"/>
        <v>0.25</v>
      </c>
      <c r="J10" s="442">
        <f t="shared" si="4"/>
        <v>4.5</v>
      </c>
      <c r="K10" s="34">
        <f t="shared" si="5"/>
        <v>94.5</v>
      </c>
    </row>
    <row r="11" spans="1:15" s="74" customFormat="1" ht="20.100000000000001" customHeight="1">
      <c r="A11" s="42">
        <v>1</v>
      </c>
      <c r="B11" s="78"/>
      <c r="C11" s="56">
        <f t="shared" si="0"/>
        <v>9</v>
      </c>
      <c r="D11" s="9" t="s">
        <v>576</v>
      </c>
      <c r="E11" s="7">
        <v>31.85</v>
      </c>
      <c r="F11" s="8">
        <v>4</v>
      </c>
      <c r="G11" s="7">
        <f t="shared" si="1"/>
        <v>7.9625000000000004</v>
      </c>
      <c r="H11" s="7">
        <f t="shared" si="2"/>
        <v>71.662500000000009</v>
      </c>
      <c r="I11" s="7">
        <f t="shared" si="3"/>
        <v>0.39812500000000006</v>
      </c>
      <c r="J11" s="442">
        <f t="shared" si="4"/>
        <v>3.5831250000000008</v>
      </c>
      <c r="K11" s="34">
        <f t="shared" si="5"/>
        <v>75.245625000000004</v>
      </c>
    </row>
    <row r="12" spans="1:15" s="74" customFormat="1" ht="20.100000000000001" customHeight="1">
      <c r="A12" s="42">
        <v>2</v>
      </c>
      <c r="B12" s="78"/>
      <c r="C12" s="56">
        <f t="shared" si="0"/>
        <v>18</v>
      </c>
      <c r="D12" s="9" t="s">
        <v>577</v>
      </c>
      <c r="E12" s="7">
        <v>22</v>
      </c>
      <c r="F12" s="8">
        <v>4</v>
      </c>
      <c r="G12" s="7">
        <f t="shared" si="1"/>
        <v>5.5</v>
      </c>
      <c r="H12" s="7">
        <f t="shared" si="2"/>
        <v>99</v>
      </c>
      <c r="I12" s="7">
        <f t="shared" si="3"/>
        <v>0.27500000000000002</v>
      </c>
      <c r="J12" s="442">
        <f t="shared" si="4"/>
        <v>4.95</v>
      </c>
      <c r="K12" s="34">
        <f t="shared" si="5"/>
        <v>103.95</v>
      </c>
    </row>
    <row r="13" spans="1:15" s="74" customFormat="1" ht="20.100000000000001" customHeight="1">
      <c r="A13" s="42">
        <v>10</v>
      </c>
      <c r="B13" s="78"/>
      <c r="C13" s="56">
        <f t="shared" si="0"/>
        <v>87</v>
      </c>
      <c r="D13" s="9" t="s">
        <v>578</v>
      </c>
      <c r="E13" s="7">
        <v>5</v>
      </c>
      <c r="F13" s="8">
        <v>2</v>
      </c>
      <c r="G13" s="7">
        <f t="shared" si="1"/>
        <v>2.5</v>
      </c>
      <c r="H13" s="7">
        <f t="shared" si="2"/>
        <v>217.5</v>
      </c>
      <c r="I13" s="7">
        <f t="shared" si="3"/>
        <v>0.125</v>
      </c>
      <c r="J13" s="442">
        <f t="shared" si="4"/>
        <v>10.875</v>
      </c>
      <c r="K13" s="34">
        <f t="shared" si="5"/>
        <v>228.375</v>
      </c>
    </row>
    <row r="14" spans="1:15" s="74" customFormat="1" ht="17.100000000000001" customHeight="1">
      <c r="A14" s="257"/>
      <c r="B14" s="77"/>
      <c r="C14" s="275"/>
      <c r="D14" s="265" t="s">
        <v>579</v>
      </c>
      <c r="E14" s="278"/>
      <c r="F14" s="274"/>
      <c r="G14" s="265"/>
      <c r="H14" s="265"/>
      <c r="I14" s="278"/>
      <c r="J14" s="278"/>
      <c r="K14" s="279"/>
    </row>
    <row r="15" spans="1:15" s="74" customFormat="1" ht="20.100000000000001" customHeight="1">
      <c r="A15" s="42">
        <v>1</v>
      </c>
      <c r="B15" s="78"/>
      <c r="C15" s="56">
        <f>ROUNDUP(O$4*A15/10,0)</f>
        <v>9</v>
      </c>
      <c r="D15" s="9" t="s">
        <v>580</v>
      </c>
      <c r="E15" s="7">
        <v>15</v>
      </c>
      <c r="F15" s="8">
        <v>0.5</v>
      </c>
      <c r="G15" s="7">
        <f t="shared" si="1"/>
        <v>30</v>
      </c>
      <c r="H15" s="7">
        <f>G15*C15</f>
        <v>270</v>
      </c>
      <c r="I15" s="7">
        <f>G15*$I$3</f>
        <v>1.5</v>
      </c>
      <c r="J15" s="442">
        <f>I15*C15</f>
        <v>13.5</v>
      </c>
      <c r="K15" s="34">
        <f t="shared" si="5"/>
        <v>283.5</v>
      </c>
    </row>
    <row r="16" spans="1:15" s="74" customFormat="1" ht="20.100000000000001" customHeight="1">
      <c r="A16" s="42">
        <v>40</v>
      </c>
      <c r="B16" s="78"/>
      <c r="C16" s="56">
        <f>ROUNDUP(O$4*A16/10,0)</f>
        <v>348</v>
      </c>
      <c r="D16" s="9" t="s">
        <v>581</v>
      </c>
      <c r="E16" s="7">
        <v>15</v>
      </c>
      <c r="F16" s="8">
        <v>0.5</v>
      </c>
      <c r="G16" s="7">
        <f t="shared" si="1"/>
        <v>30</v>
      </c>
      <c r="H16" s="7">
        <f>G16*C16</f>
        <v>10440</v>
      </c>
      <c r="I16" s="7">
        <f>G16*$I$3</f>
        <v>1.5</v>
      </c>
      <c r="J16" s="442">
        <f>I16*C16</f>
        <v>522</v>
      </c>
      <c r="K16" s="34">
        <f t="shared" si="5"/>
        <v>10962</v>
      </c>
    </row>
    <row r="17" spans="1:11" s="74" customFormat="1" ht="20.100000000000001" customHeight="1">
      <c r="A17" s="42">
        <v>4</v>
      </c>
      <c r="B17" s="78"/>
      <c r="C17" s="56">
        <f>ROUNDUP(O$4*A17/10,0)</f>
        <v>35</v>
      </c>
      <c r="D17" s="9" t="s">
        <v>582</v>
      </c>
      <c r="E17" s="7">
        <v>4</v>
      </c>
      <c r="F17" s="8">
        <v>0.5</v>
      </c>
      <c r="G17" s="7">
        <f t="shared" si="1"/>
        <v>8</v>
      </c>
      <c r="H17" s="7">
        <f>G17*C17</f>
        <v>280</v>
      </c>
      <c r="I17" s="7">
        <f>G17*$I$3</f>
        <v>0.4</v>
      </c>
      <c r="J17" s="442">
        <f>I17*C17</f>
        <v>14</v>
      </c>
      <c r="K17" s="34">
        <f t="shared" si="5"/>
        <v>294</v>
      </c>
    </row>
    <row r="18" spans="1:11" s="74" customFormat="1" ht="17.100000000000001" customHeight="1">
      <c r="A18" s="257"/>
      <c r="B18" s="77"/>
      <c r="C18" s="275"/>
      <c r="D18" s="265" t="s">
        <v>583</v>
      </c>
      <c r="E18" s="278"/>
      <c r="F18" s="274"/>
      <c r="G18" s="265"/>
      <c r="H18" s="265"/>
      <c r="I18" s="278"/>
      <c r="J18" s="278"/>
      <c r="K18" s="279"/>
    </row>
    <row r="19" spans="1:11" s="74" customFormat="1" ht="20.100000000000001" customHeight="1">
      <c r="A19" s="42">
        <v>1</v>
      </c>
      <c r="B19" s="78"/>
      <c r="C19" s="56">
        <f>ROUNDUP(O$4*A19/10,0)</f>
        <v>9</v>
      </c>
      <c r="D19" s="9" t="s">
        <v>584</v>
      </c>
      <c r="E19" s="7">
        <v>5</v>
      </c>
      <c r="F19" s="8">
        <v>4</v>
      </c>
      <c r="G19" s="7">
        <f t="shared" si="1"/>
        <v>1.25</v>
      </c>
      <c r="H19" s="7">
        <f>G19*C19</f>
        <v>11.25</v>
      </c>
      <c r="I19" s="7">
        <f>G19*$I$3</f>
        <v>6.25E-2</v>
      </c>
      <c r="J19" s="442">
        <f>I19*C19</f>
        <v>0.5625</v>
      </c>
      <c r="K19" s="34">
        <f t="shared" si="5"/>
        <v>11.8125</v>
      </c>
    </row>
    <row r="20" spans="1:11" s="74" customFormat="1" ht="20.100000000000001" customHeight="1">
      <c r="A20" s="42">
        <v>10</v>
      </c>
      <c r="B20" s="78"/>
      <c r="C20" s="56">
        <f>ROUNDUP(O$4*A20/10,0)</f>
        <v>87</v>
      </c>
      <c r="D20" s="9" t="s">
        <v>585</v>
      </c>
      <c r="E20" s="7">
        <v>8.6</v>
      </c>
      <c r="F20" s="8">
        <v>4</v>
      </c>
      <c r="G20" s="7">
        <f t="shared" si="1"/>
        <v>2.15</v>
      </c>
      <c r="H20" s="7">
        <f>G20*C20</f>
        <v>187.04999999999998</v>
      </c>
      <c r="I20" s="7">
        <f>G20*$I$3</f>
        <v>0.1075</v>
      </c>
      <c r="J20" s="442">
        <f>I20*C20</f>
        <v>9.3524999999999991</v>
      </c>
      <c r="K20" s="34">
        <f t="shared" si="5"/>
        <v>196.40249999999997</v>
      </c>
    </row>
    <row r="21" spans="1:11" s="74" customFormat="1" ht="20.100000000000001" customHeight="1">
      <c r="A21" s="42">
        <v>5</v>
      </c>
      <c r="B21" s="78"/>
      <c r="C21" s="56">
        <f>ROUNDUP(O$4*A21/10,0)</f>
        <v>44</v>
      </c>
      <c r="D21" s="9" t="s">
        <v>586</v>
      </c>
      <c r="E21" s="7">
        <v>150</v>
      </c>
      <c r="F21" s="8">
        <v>4</v>
      </c>
      <c r="G21" s="7">
        <f t="shared" si="1"/>
        <v>37.5</v>
      </c>
      <c r="H21" s="7">
        <f>G21*C21</f>
        <v>1650</v>
      </c>
      <c r="I21" s="7">
        <f>G21*$I$3</f>
        <v>1.875</v>
      </c>
      <c r="J21" s="442">
        <f>I21*C21</f>
        <v>82.5</v>
      </c>
      <c r="K21" s="34">
        <f t="shared" si="5"/>
        <v>1732.5</v>
      </c>
    </row>
    <row r="22" spans="1:11" s="74" customFormat="1" ht="20.100000000000001" customHeight="1">
      <c r="A22" s="42">
        <v>3</v>
      </c>
      <c r="B22" s="78"/>
      <c r="C22" s="56">
        <f>ROUNDUP(O$4*A22/10,0)</f>
        <v>27</v>
      </c>
      <c r="D22" s="9" t="s">
        <v>587</v>
      </c>
      <c r="E22" s="7">
        <v>150</v>
      </c>
      <c r="F22" s="8">
        <v>4</v>
      </c>
      <c r="G22" s="7">
        <f t="shared" si="1"/>
        <v>37.5</v>
      </c>
      <c r="H22" s="7">
        <f>G22*C22</f>
        <v>1012.5</v>
      </c>
      <c r="I22" s="7">
        <f>G22*$I$3</f>
        <v>1.875</v>
      </c>
      <c r="J22" s="442">
        <f>I22*C22</f>
        <v>50.625</v>
      </c>
      <c r="K22" s="34">
        <f t="shared" si="5"/>
        <v>1063.125</v>
      </c>
    </row>
    <row r="23" spans="1:11" ht="17.100000000000001" customHeight="1">
      <c r="A23" s="257"/>
      <c r="B23" s="77"/>
      <c r="C23" s="275"/>
      <c r="D23" s="265" t="s">
        <v>588</v>
      </c>
      <c r="E23" s="278"/>
      <c r="F23" s="274"/>
      <c r="G23" s="265"/>
      <c r="H23" s="265"/>
      <c r="I23" s="278"/>
      <c r="J23" s="278"/>
      <c r="K23" s="279"/>
    </row>
    <row r="24" spans="1:11" s="74" customFormat="1" ht="20.100000000000001" customHeight="1">
      <c r="A24" s="42">
        <v>1</v>
      </c>
      <c r="B24" s="78"/>
      <c r="C24" s="56">
        <f t="shared" ref="C24:C31" si="6">ROUNDUP(O$4*A24/10,0)</f>
        <v>9</v>
      </c>
      <c r="D24" s="9" t="s">
        <v>589</v>
      </c>
      <c r="E24" s="7">
        <v>24</v>
      </c>
      <c r="F24" s="8">
        <v>4</v>
      </c>
      <c r="G24" s="7">
        <f t="shared" si="1"/>
        <v>6</v>
      </c>
      <c r="H24" s="7">
        <f t="shared" ref="H24:H33" si="7">G24*C24</f>
        <v>54</v>
      </c>
      <c r="I24" s="7">
        <f t="shared" ref="I24:I33" si="8">G24*$I$3</f>
        <v>0.30000000000000004</v>
      </c>
      <c r="J24" s="442">
        <f t="shared" ref="J24:J33" si="9">I24*C24</f>
        <v>2.7</v>
      </c>
      <c r="K24" s="34">
        <f t="shared" si="5"/>
        <v>56.699999999999996</v>
      </c>
    </row>
    <row r="25" spans="1:11" s="74" customFormat="1" ht="20.100000000000001" customHeight="1">
      <c r="A25" s="42">
        <v>1</v>
      </c>
      <c r="B25" s="78"/>
      <c r="C25" s="56">
        <f t="shared" si="6"/>
        <v>9</v>
      </c>
      <c r="D25" s="9" t="s">
        <v>590</v>
      </c>
      <c r="E25" s="7">
        <v>24</v>
      </c>
      <c r="F25" s="8">
        <v>4</v>
      </c>
      <c r="G25" s="7">
        <f t="shared" si="1"/>
        <v>6</v>
      </c>
      <c r="H25" s="7">
        <f t="shared" si="7"/>
        <v>54</v>
      </c>
      <c r="I25" s="7">
        <f t="shared" si="8"/>
        <v>0.30000000000000004</v>
      </c>
      <c r="J25" s="442">
        <f t="shared" si="9"/>
        <v>2.7</v>
      </c>
      <c r="K25" s="34">
        <f t="shared" si="5"/>
        <v>56.699999999999996</v>
      </c>
    </row>
    <row r="26" spans="1:11" s="74" customFormat="1" ht="20.100000000000001" customHeight="1">
      <c r="A26" s="42">
        <v>1</v>
      </c>
      <c r="B26" s="78"/>
      <c r="C26" s="56">
        <f t="shared" si="6"/>
        <v>9</v>
      </c>
      <c r="D26" s="9" t="s">
        <v>591</v>
      </c>
      <c r="E26" s="7">
        <v>24</v>
      </c>
      <c r="F26" s="8">
        <v>4</v>
      </c>
      <c r="G26" s="7">
        <f t="shared" si="1"/>
        <v>6</v>
      </c>
      <c r="H26" s="7">
        <f t="shared" si="7"/>
        <v>54</v>
      </c>
      <c r="I26" s="7">
        <f t="shared" si="8"/>
        <v>0.30000000000000004</v>
      </c>
      <c r="J26" s="442">
        <f t="shared" si="9"/>
        <v>2.7</v>
      </c>
      <c r="K26" s="34">
        <f t="shared" si="5"/>
        <v>56.699999999999996</v>
      </c>
    </row>
    <row r="27" spans="1:11" s="74" customFormat="1" ht="20.100000000000001" customHeight="1">
      <c r="A27" s="42">
        <v>1</v>
      </c>
      <c r="B27" s="78"/>
      <c r="C27" s="56">
        <f t="shared" si="6"/>
        <v>9</v>
      </c>
      <c r="D27" s="9" t="s">
        <v>592</v>
      </c>
      <c r="E27" s="7">
        <v>44</v>
      </c>
      <c r="F27" s="8">
        <v>4</v>
      </c>
      <c r="G27" s="7">
        <f t="shared" si="1"/>
        <v>11</v>
      </c>
      <c r="H27" s="7">
        <f t="shared" si="7"/>
        <v>99</v>
      </c>
      <c r="I27" s="7">
        <f t="shared" si="8"/>
        <v>0.55000000000000004</v>
      </c>
      <c r="J27" s="442">
        <f t="shared" si="9"/>
        <v>4.95</v>
      </c>
      <c r="K27" s="34">
        <f t="shared" si="5"/>
        <v>103.95</v>
      </c>
    </row>
    <row r="28" spans="1:11" s="74" customFormat="1" ht="20.100000000000001" customHeight="1">
      <c r="A28" s="42">
        <v>1</v>
      </c>
      <c r="B28" s="78"/>
      <c r="C28" s="56">
        <f t="shared" si="6"/>
        <v>9</v>
      </c>
      <c r="D28" s="9" t="s">
        <v>593</v>
      </c>
      <c r="E28" s="7">
        <v>44</v>
      </c>
      <c r="F28" s="8">
        <v>4</v>
      </c>
      <c r="G28" s="7">
        <f t="shared" si="1"/>
        <v>11</v>
      </c>
      <c r="H28" s="7">
        <f t="shared" si="7"/>
        <v>99</v>
      </c>
      <c r="I28" s="7">
        <f t="shared" si="8"/>
        <v>0.55000000000000004</v>
      </c>
      <c r="J28" s="442">
        <f t="shared" si="9"/>
        <v>4.95</v>
      </c>
      <c r="K28" s="34">
        <f t="shared" si="5"/>
        <v>103.95</v>
      </c>
    </row>
    <row r="29" spans="1:11" s="74" customFormat="1" ht="20.100000000000001" customHeight="1">
      <c r="A29" s="42">
        <v>2</v>
      </c>
      <c r="B29" s="78"/>
      <c r="C29" s="56">
        <f t="shared" si="6"/>
        <v>18</v>
      </c>
      <c r="D29" s="9" t="s">
        <v>594</v>
      </c>
      <c r="E29" s="7">
        <v>77</v>
      </c>
      <c r="F29" s="8">
        <v>4</v>
      </c>
      <c r="G29" s="7">
        <f t="shared" si="1"/>
        <v>19.25</v>
      </c>
      <c r="H29" s="7">
        <f t="shared" si="7"/>
        <v>346.5</v>
      </c>
      <c r="I29" s="7">
        <f t="shared" si="8"/>
        <v>0.96250000000000002</v>
      </c>
      <c r="J29" s="442">
        <f t="shared" si="9"/>
        <v>17.324999999999999</v>
      </c>
      <c r="K29" s="34">
        <f t="shared" si="5"/>
        <v>363.82499999999999</v>
      </c>
    </row>
    <row r="30" spans="1:11" s="74" customFormat="1" ht="20.100000000000001" customHeight="1">
      <c r="A30" s="42">
        <v>2</v>
      </c>
      <c r="B30" s="78"/>
      <c r="C30" s="56">
        <f t="shared" si="6"/>
        <v>18</v>
      </c>
      <c r="D30" s="9" t="s">
        <v>595</v>
      </c>
      <c r="E30" s="7">
        <v>53</v>
      </c>
      <c r="F30" s="8">
        <v>1</v>
      </c>
      <c r="G30" s="7">
        <f t="shared" si="1"/>
        <v>53</v>
      </c>
      <c r="H30" s="7">
        <f t="shared" si="7"/>
        <v>954</v>
      </c>
      <c r="I30" s="7">
        <f t="shared" si="8"/>
        <v>2.6500000000000004</v>
      </c>
      <c r="J30" s="442">
        <f t="shared" si="9"/>
        <v>47.7</v>
      </c>
      <c r="K30" s="34">
        <f t="shared" si="5"/>
        <v>1001.6999999999999</v>
      </c>
    </row>
    <row r="31" spans="1:11" s="74" customFormat="1" ht="20.100000000000001" customHeight="1">
      <c r="A31" s="42">
        <v>1</v>
      </c>
      <c r="B31" s="78"/>
      <c r="C31" s="56">
        <f t="shared" si="6"/>
        <v>9</v>
      </c>
      <c r="D31" s="9" t="s">
        <v>596</v>
      </c>
      <c r="E31" s="7">
        <v>36</v>
      </c>
      <c r="F31" s="8">
        <v>4</v>
      </c>
      <c r="G31" s="7">
        <f t="shared" si="1"/>
        <v>9</v>
      </c>
      <c r="H31" s="7">
        <f t="shared" si="7"/>
        <v>81</v>
      </c>
      <c r="I31" s="7">
        <f t="shared" si="8"/>
        <v>0.45</v>
      </c>
      <c r="J31" s="442">
        <f t="shared" si="9"/>
        <v>4.05</v>
      </c>
      <c r="K31" s="34">
        <f t="shared" si="5"/>
        <v>85.05</v>
      </c>
    </row>
    <row r="32" spans="1:11" s="74" customFormat="1" ht="20.100000000000001" customHeight="1">
      <c r="A32" s="42" t="s">
        <v>597</v>
      </c>
      <c r="B32" s="78"/>
      <c r="C32" s="56">
        <f>(O4+O5+O6)</f>
        <v>91</v>
      </c>
      <c r="D32" s="9" t="s">
        <v>598</v>
      </c>
      <c r="E32" s="7">
        <f>59*60%</f>
        <v>35.4</v>
      </c>
      <c r="F32" s="8">
        <v>4</v>
      </c>
      <c r="G32" s="7">
        <f t="shared" si="1"/>
        <v>8.85</v>
      </c>
      <c r="H32" s="7">
        <f t="shared" si="7"/>
        <v>805.35</v>
      </c>
      <c r="I32" s="7">
        <f t="shared" si="8"/>
        <v>0.4425</v>
      </c>
      <c r="J32" s="442">
        <f t="shared" si="9"/>
        <v>40.267499999999998</v>
      </c>
      <c r="K32" s="34">
        <f t="shared" si="5"/>
        <v>845.61750000000006</v>
      </c>
    </row>
    <row r="33" spans="1:11" s="74" customFormat="1" ht="20.100000000000001" customHeight="1">
      <c r="A33" s="42" t="s">
        <v>597</v>
      </c>
      <c r="B33" s="78"/>
      <c r="C33" s="56">
        <f>O4++O5+O6</f>
        <v>91</v>
      </c>
      <c r="D33" s="9" t="s">
        <v>599</v>
      </c>
      <c r="E33" s="7">
        <v>69</v>
      </c>
      <c r="F33" s="8">
        <v>1</v>
      </c>
      <c r="G33" s="7">
        <f t="shared" si="1"/>
        <v>69</v>
      </c>
      <c r="H33" s="7">
        <f t="shared" si="7"/>
        <v>6279</v>
      </c>
      <c r="I33" s="7">
        <f t="shared" si="8"/>
        <v>3.45</v>
      </c>
      <c r="J33" s="442">
        <f t="shared" si="9"/>
        <v>313.95</v>
      </c>
      <c r="K33" s="34">
        <f t="shared" si="5"/>
        <v>6592.95</v>
      </c>
    </row>
    <row r="34" spans="1:11" ht="17.100000000000001" customHeight="1">
      <c r="B34" s="21"/>
      <c r="C34" s="477"/>
      <c r="D34" s="478"/>
      <c r="E34" s="478"/>
      <c r="F34" s="479"/>
      <c r="G34" s="480" t="s">
        <v>47</v>
      </c>
      <c r="H34" s="484">
        <f>SUM(H4:H33)</f>
        <v>24518.984999999997</v>
      </c>
      <c r="I34" s="480"/>
      <c r="J34" s="484">
        <f>SUM(J4:J33)</f>
        <v>1225.9492500000003</v>
      </c>
      <c r="K34" s="483">
        <f>SUM(K4:K33)</f>
        <v>25744.934250000006</v>
      </c>
    </row>
    <row r="35" spans="1:11" ht="12.75" customHeight="1">
      <c r="K35" s="83"/>
    </row>
    <row r="36" spans="1:11" ht="12.75" customHeight="1">
      <c r="K36" s="83"/>
    </row>
    <row r="37" spans="1:11" ht="12.75" customHeight="1">
      <c r="K37" s="83"/>
    </row>
    <row r="38" spans="1:11" ht="12.75" customHeight="1">
      <c r="D38" s="79"/>
      <c r="K38" s="83"/>
    </row>
    <row r="39" spans="1:11" ht="12.75" customHeight="1">
      <c r="D39" s="80"/>
      <c r="K39" s="83"/>
    </row>
    <row r="40" spans="1:11" ht="12.75" customHeight="1">
      <c r="D40" s="80"/>
      <c r="K40" s="83"/>
    </row>
    <row r="41" spans="1:11" ht="15.75" customHeight="1"/>
    <row r="42" spans="1:11" ht="15.75" customHeight="1"/>
    <row r="43" spans="1:11" ht="15.75" customHeight="1"/>
    <row r="44" spans="1:11" ht="15.75" customHeight="1"/>
    <row r="45" spans="1:11" ht="15.75" customHeight="1"/>
    <row r="46" spans="1:11" ht="15.75" customHeight="1"/>
    <row r="47" spans="1:11" ht="15.75" customHeight="1"/>
  </sheetData>
  <mergeCells count="4">
    <mergeCell ref="C1:K1"/>
    <mergeCell ref="M4:N4"/>
    <mergeCell ref="M5:N5"/>
    <mergeCell ref="M6:N6"/>
  </mergeCells>
  <printOptions horizontalCentered="1"/>
  <pageMargins left="0.98425196850393704" right="0.78740157480314998" top="0.78740157480314998" bottom="0.39370078740157499" header="0.59055118110236204" footer="0.78740157480314998"/>
  <pageSetup paperSize="9" scale="85"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0.249977111117893"/>
  </sheetPr>
  <dimension ref="A1:P90"/>
  <sheetViews>
    <sheetView showGridLines="0" workbookViewId="0">
      <selection activeCell="C1" sqref="C1:K1"/>
    </sheetView>
  </sheetViews>
  <sheetFormatPr baseColWidth="10" defaultColWidth="11" defaultRowHeight="13.2"/>
  <cols>
    <col min="1" max="1" width="11.88671875" customWidth="1"/>
    <col min="2" max="2" width="1.5546875" style="72" customWidth="1"/>
    <col min="4" max="4" width="20.33203125" customWidth="1"/>
    <col min="8" max="8" width="15.6640625" hidden="1" customWidth="1"/>
    <col min="9" max="9" width="13.88671875" customWidth="1"/>
    <col min="10" max="10" width="18" hidden="1" customWidth="1"/>
  </cols>
  <sheetData>
    <row r="1" spans="1:16" s="17" customFormat="1" ht="15.6">
      <c r="A1" s="40"/>
      <c r="B1" s="21"/>
      <c r="C1" s="867" t="s">
        <v>600</v>
      </c>
      <c r="D1" s="868"/>
      <c r="E1" s="868"/>
      <c r="F1" s="868"/>
      <c r="G1" s="868"/>
      <c r="H1" s="868"/>
      <c r="I1" s="868"/>
      <c r="J1" s="868"/>
      <c r="K1" s="869"/>
    </row>
    <row r="2" spans="1:16" s="17" customFormat="1" ht="43.2">
      <c r="A2" s="41" t="s">
        <v>567</v>
      </c>
      <c r="B2" s="22"/>
      <c r="C2" s="23" t="s">
        <v>548</v>
      </c>
      <c r="D2" s="5" t="s">
        <v>294</v>
      </c>
      <c r="E2" s="5" t="s">
        <v>549</v>
      </c>
      <c r="F2" s="5" t="s">
        <v>550</v>
      </c>
      <c r="G2" s="5" t="s">
        <v>551</v>
      </c>
      <c r="H2" s="441" t="s">
        <v>996</v>
      </c>
      <c r="I2" s="5" t="s">
        <v>552</v>
      </c>
      <c r="J2" s="441" t="s">
        <v>1009</v>
      </c>
      <c r="K2" s="24" t="s">
        <v>553</v>
      </c>
      <c r="L2" s="18"/>
      <c r="M2" s="18"/>
      <c r="N2" s="18"/>
      <c r="O2" s="44"/>
    </row>
    <row r="3" spans="1:16" s="19" customFormat="1" ht="15" customHeight="1">
      <c r="A3" s="265"/>
      <c r="B3" s="25"/>
      <c r="C3" s="275"/>
      <c r="D3" s="265" t="s">
        <v>601</v>
      </c>
      <c r="E3" s="265"/>
      <c r="F3" s="265"/>
      <c r="G3" s="265"/>
      <c r="H3" s="265"/>
      <c r="I3" s="276">
        <f>'C. Resumen Costes Vest_Util_Her'!$D$11</f>
        <v>0.05</v>
      </c>
      <c r="J3" s="276"/>
      <c r="K3" s="277"/>
      <c r="M3"/>
      <c r="N3"/>
      <c r="O3"/>
      <c r="P3"/>
    </row>
    <row r="4" spans="1:16" s="20" customFormat="1" ht="14.4">
      <c r="A4" s="42">
        <v>5</v>
      </c>
      <c r="B4" s="26"/>
      <c r="C4" s="56">
        <f>ROUND(+O$4*A4/10,0)</f>
        <v>44</v>
      </c>
      <c r="D4" s="6" t="s">
        <v>602</v>
      </c>
      <c r="E4" s="7">
        <v>16</v>
      </c>
      <c r="F4" s="8">
        <v>4</v>
      </c>
      <c r="G4" s="7">
        <f>E4/F4</f>
        <v>4</v>
      </c>
      <c r="H4" s="7">
        <f>G4*C4</f>
        <v>176</v>
      </c>
      <c r="I4" s="7">
        <f>G4*$I$3</f>
        <v>0.2</v>
      </c>
      <c r="J4" s="442">
        <f>I4*C4</f>
        <v>8.8000000000000007</v>
      </c>
      <c r="K4" s="34">
        <f>C4*(G4+I4)</f>
        <v>184.8</v>
      </c>
      <c r="M4" s="870" t="s">
        <v>109</v>
      </c>
      <c r="N4" s="871"/>
      <c r="O4" s="45">
        <f>'C.1.1.Vestuario_Equip'!M4</f>
        <v>87</v>
      </c>
      <c r="P4" s="17"/>
    </row>
    <row r="5" spans="1:16" s="20" customFormat="1" ht="14.4">
      <c r="A5" s="42">
        <v>5</v>
      </c>
      <c r="B5" s="26"/>
      <c r="C5" s="56">
        <f t="shared" ref="C5:C68" si="0">ROUND(+O$4*A5/10,0)</f>
        <v>44</v>
      </c>
      <c r="D5" s="6" t="s">
        <v>603</v>
      </c>
      <c r="E5" s="7">
        <v>13</v>
      </c>
      <c r="F5" s="8">
        <v>4</v>
      </c>
      <c r="G5" s="7">
        <f t="shared" ref="G5:G24" si="1">E5/F5</f>
        <v>3.25</v>
      </c>
      <c r="H5" s="7">
        <f t="shared" ref="H5:H24" si="2">G5*C5</f>
        <v>143</v>
      </c>
      <c r="I5" s="7">
        <f t="shared" ref="I5:I68" si="3">G5*$I$3</f>
        <v>0.16250000000000001</v>
      </c>
      <c r="J5" s="442">
        <f t="shared" ref="J5:J24" si="4">I5*C5</f>
        <v>7.15</v>
      </c>
      <c r="K5" s="34">
        <f t="shared" ref="K5:K24" si="5">C5*(G5+I5)</f>
        <v>150.15</v>
      </c>
      <c r="M5" s="870" t="s">
        <v>557</v>
      </c>
      <c r="N5" s="871"/>
      <c r="O5" s="45">
        <f>'C.1.1.Vestuario_Equip'!M5</f>
        <v>1</v>
      </c>
      <c r="P5" s="17"/>
    </row>
    <row r="6" spans="1:16" s="20" customFormat="1" ht="14.4">
      <c r="A6" s="42">
        <v>4</v>
      </c>
      <c r="B6" s="26"/>
      <c r="C6" s="56">
        <f t="shared" si="0"/>
        <v>35</v>
      </c>
      <c r="D6" s="6" t="s">
        <v>604</v>
      </c>
      <c r="E6" s="7">
        <v>12</v>
      </c>
      <c r="F6" s="8">
        <v>4</v>
      </c>
      <c r="G6" s="7">
        <f t="shared" si="1"/>
        <v>3</v>
      </c>
      <c r="H6" s="7">
        <f t="shared" si="2"/>
        <v>105</v>
      </c>
      <c r="I6" s="7">
        <f t="shared" si="3"/>
        <v>0.15000000000000002</v>
      </c>
      <c r="J6" s="442">
        <f t="shared" si="4"/>
        <v>5.2500000000000009</v>
      </c>
      <c r="K6" s="34">
        <f t="shared" si="5"/>
        <v>110.25</v>
      </c>
      <c r="M6" s="870" t="s">
        <v>559</v>
      </c>
      <c r="N6" s="871"/>
      <c r="O6" s="45">
        <f>'C.1.1.Vestuario_Equip'!M6</f>
        <v>3</v>
      </c>
      <c r="P6" s="17"/>
    </row>
    <row r="7" spans="1:16" s="20" customFormat="1" ht="14.4">
      <c r="A7" s="42">
        <v>4</v>
      </c>
      <c r="B7" s="26"/>
      <c r="C7" s="56">
        <f t="shared" si="0"/>
        <v>35</v>
      </c>
      <c r="D7" s="6" t="s">
        <v>605</v>
      </c>
      <c r="E7" s="7">
        <v>12</v>
      </c>
      <c r="F7" s="8">
        <v>4</v>
      </c>
      <c r="G7" s="7">
        <f t="shared" si="1"/>
        <v>3</v>
      </c>
      <c r="H7" s="7">
        <f t="shared" si="2"/>
        <v>105</v>
      </c>
      <c r="I7" s="7">
        <f t="shared" si="3"/>
        <v>0.15000000000000002</v>
      </c>
      <c r="J7" s="442">
        <f t="shared" si="4"/>
        <v>5.2500000000000009</v>
      </c>
      <c r="K7" s="34">
        <f t="shared" si="5"/>
        <v>110.25</v>
      </c>
      <c r="M7" s="17"/>
      <c r="N7" s="17"/>
      <c r="O7" s="17"/>
      <c r="P7" s="17"/>
    </row>
    <row r="8" spans="1:16" s="20" customFormat="1" ht="14.4">
      <c r="A8" s="42">
        <v>3</v>
      </c>
      <c r="B8" s="26"/>
      <c r="C8" s="56">
        <f t="shared" si="0"/>
        <v>26</v>
      </c>
      <c r="D8" s="6" t="s">
        <v>606</v>
      </c>
      <c r="E8" s="7">
        <v>29</v>
      </c>
      <c r="F8" s="8">
        <v>4</v>
      </c>
      <c r="G8" s="7">
        <f t="shared" si="1"/>
        <v>7.25</v>
      </c>
      <c r="H8" s="7">
        <f t="shared" si="2"/>
        <v>188.5</v>
      </c>
      <c r="I8" s="7">
        <f t="shared" si="3"/>
        <v>0.36250000000000004</v>
      </c>
      <c r="J8" s="442">
        <f t="shared" si="4"/>
        <v>9.4250000000000007</v>
      </c>
      <c r="K8" s="34">
        <f t="shared" si="5"/>
        <v>197.92499999999998</v>
      </c>
      <c r="M8" s="17"/>
      <c r="N8" s="17"/>
      <c r="O8" s="17"/>
      <c r="P8" s="17"/>
    </row>
    <row r="9" spans="1:16" s="20" customFormat="1" ht="14.4">
      <c r="A9" s="42">
        <v>6</v>
      </c>
      <c r="B9" s="26"/>
      <c r="C9" s="56">
        <f t="shared" si="0"/>
        <v>52</v>
      </c>
      <c r="D9" s="6" t="s">
        <v>607</v>
      </c>
      <c r="E9" s="7">
        <v>7.5</v>
      </c>
      <c r="F9" s="8">
        <v>4</v>
      </c>
      <c r="G9" s="7">
        <f t="shared" si="1"/>
        <v>1.875</v>
      </c>
      <c r="H9" s="7">
        <f t="shared" si="2"/>
        <v>97.5</v>
      </c>
      <c r="I9" s="7">
        <f t="shared" si="3"/>
        <v>9.375E-2</v>
      </c>
      <c r="J9" s="442">
        <f t="shared" si="4"/>
        <v>4.875</v>
      </c>
      <c r="K9" s="34">
        <f t="shared" si="5"/>
        <v>102.375</v>
      </c>
      <c r="M9" s="17"/>
      <c r="N9" s="17"/>
      <c r="O9" s="17"/>
      <c r="P9" s="17"/>
    </row>
    <row r="10" spans="1:16" s="20" customFormat="1" ht="14.4">
      <c r="A10" s="42">
        <v>6</v>
      </c>
      <c r="B10" s="26"/>
      <c r="C10" s="56">
        <f t="shared" si="0"/>
        <v>52</v>
      </c>
      <c r="D10" s="6" t="s">
        <v>608</v>
      </c>
      <c r="E10" s="7">
        <v>9</v>
      </c>
      <c r="F10" s="8">
        <v>4</v>
      </c>
      <c r="G10" s="7">
        <f t="shared" si="1"/>
        <v>2.25</v>
      </c>
      <c r="H10" s="7">
        <f t="shared" si="2"/>
        <v>117</v>
      </c>
      <c r="I10" s="7">
        <f t="shared" si="3"/>
        <v>0.1125</v>
      </c>
      <c r="J10" s="442">
        <f t="shared" si="4"/>
        <v>5.8500000000000005</v>
      </c>
      <c r="K10" s="34">
        <f t="shared" si="5"/>
        <v>122.85</v>
      </c>
      <c r="M10" s="17"/>
      <c r="N10" s="17"/>
      <c r="O10" s="17"/>
      <c r="P10" s="17"/>
    </row>
    <row r="11" spans="1:16" s="20" customFormat="1" ht="14.4">
      <c r="A11" s="42">
        <v>3</v>
      </c>
      <c r="B11" s="26"/>
      <c r="C11" s="56">
        <f t="shared" si="0"/>
        <v>26</v>
      </c>
      <c r="D11" s="6" t="s">
        <v>609</v>
      </c>
      <c r="E11" s="7">
        <v>14</v>
      </c>
      <c r="F11" s="8">
        <v>2</v>
      </c>
      <c r="G11" s="7">
        <f t="shared" si="1"/>
        <v>7</v>
      </c>
      <c r="H11" s="7">
        <f t="shared" si="2"/>
        <v>182</v>
      </c>
      <c r="I11" s="7">
        <f t="shared" si="3"/>
        <v>0.35000000000000003</v>
      </c>
      <c r="J11" s="442">
        <f t="shared" si="4"/>
        <v>9.1000000000000014</v>
      </c>
      <c r="K11" s="34">
        <f t="shared" si="5"/>
        <v>191.1</v>
      </c>
      <c r="M11" s="17"/>
      <c r="N11" s="17"/>
      <c r="O11" s="17"/>
      <c r="P11" s="17"/>
    </row>
    <row r="12" spans="1:16" s="20" customFormat="1" ht="14.4">
      <c r="A12" s="42">
        <v>1</v>
      </c>
      <c r="B12" s="26"/>
      <c r="C12" s="56">
        <f t="shared" si="0"/>
        <v>9</v>
      </c>
      <c r="D12" s="6" t="s">
        <v>610</v>
      </c>
      <c r="E12" s="7">
        <v>24</v>
      </c>
      <c r="F12" s="8">
        <v>2</v>
      </c>
      <c r="G12" s="7">
        <f t="shared" si="1"/>
        <v>12</v>
      </c>
      <c r="H12" s="7">
        <f t="shared" si="2"/>
        <v>108</v>
      </c>
      <c r="I12" s="7">
        <f t="shared" si="3"/>
        <v>0.60000000000000009</v>
      </c>
      <c r="J12" s="442">
        <f t="shared" si="4"/>
        <v>5.4</v>
      </c>
      <c r="K12" s="34">
        <f t="shared" si="5"/>
        <v>113.39999999999999</v>
      </c>
      <c r="M12" s="17"/>
      <c r="N12" s="17"/>
      <c r="O12" s="17"/>
      <c r="P12" s="17"/>
    </row>
    <row r="13" spans="1:16" s="20" customFormat="1" ht="14.4">
      <c r="A13" s="42">
        <v>1</v>
      </c>
      <c r="B13" s="26"/>
      <c r="C13" s="56">
        <f t="shared" si="0"/>
        <v>9</v>
      </c>
      <c r="D13" s="6" t="s">
        <v>611</v>
      </c>
      <c r="E13" s="7">
        <v>20</v>
      </c>
      <c r="F13" s="8">
        <v>2</v>
      </c>
      <c r="G13" s="7">
        <f t="shared" si="1"/>
        <v>10</v>
      </c>
      <c r="H13" s="7">
        <f t="shared" si="2"/>
        <v>90</v>
      </c>
      <c r="I13" s="7">
        <f t="shared" si="3"/>
        <v>0.5</v>
      </c>
      <c r="J13" s="442">
        <f t="shared" si="4"/>
        <v>4.5</v>
      </c>
      <c r="K13" s="34">
        <f t="shared" si="5"/>
        <v>94.5</v>
      </c>
      <c r="M13" s="17"/>
      <c r="N13" s="17"/>
      <c r="O13" s="17"/>
      <c r="P13" s="17"/>
    </row>
    <row r="14" spans="1:16" s="20" customFormat="1" ht="14.4">
      <c r="A14" s="42">
        <v>1</v>
      </c>
      <c r="B14" s="26"/>
      <c r="C14" s="56">
        <f t="shared" si="0"/>
        <v>9</v>
      </c>
      <c r="D14" s="6" t="s">
        <v>612</v>
      </c>
      <c r="E14" s="7">
        <v>16</v>
      </c>
      <c r="F14" s="8">
        <v>4</v>
      </c>
      <c r="G14" s="7">
        <f t="shared" si="1"/>
        <v>4</v>
      </c>
      <c r="H14" s="7">
        <f t="shared" si="2"/>
        <v>36</v>
      </c>
      <c r="I14" s="7">
        <f t="shared" si="3"/>
        <v>0.2</v>
      </c>
      <c r="J14" s="442">
        <f t="shared" si="4"/>
        <v>1.8</v>
      </c>
      <c r="K14" s="34">
        <f t="shared" si="5"/>
        <v>37.800000000000004</v>
      </c>
      <c r="M14" s="17"/>
      <c r="N14" s="17"/>
      <c r="O14" s="17"/>
      <c r="P14" s="17"/>
    </row>
    <row r="15" spans="1:16" s="20" customFormat="1" ht="14.4">
      <c r="A15" s="42">
        <v>1</v>
      </c>
      <c r="B15" s="26"/>
      <c r="C15" s="56">
        <f t="shared" si="0"/>
        <v>9</v>
      </c>
      <c r="D15" s="6" t="s">
        <v>613</v>
      </c>
      <c r="E15" s="7">
        <v>12</v>
      </c>
      <c r="F15" s="8">
        <v>4</v>
      </c>
      <c r="G15" s="7">
        <f t="shared" si="1"/>
        <v>3</v>
      </c>
      <c r="H15" s="7">
        <f t="shared" si="2"/>
        <v>27</v>
      </c>
      <c r="I15" s="7">
        <f t="shared" si="3"/>
        <v>0.15000000000000002</v>
      </c>
      <c r="J15" s="442">
        <f t="shared" si="4"/>
        <v>1.35</v>
      </c>
      <c r="K15" s="34">
        <f t="shared" si="5"/>
        <v>28.349999999999998</v>
      </c>
      <c r="M15" s="17"/>
      <c r="N15" s="17"/>
      <c r="O15" s="17"/>
      <c r="P15" s="17"/>
    </row>
    <row r="16" spans="1:16" s="20" customFormat="1" ht="14.4">
      <c r="A16" s="42">
        <v>1</v>
      </c>
      <c r="B16" s="26"/>
      <c r="C16" s="56">
        <f t="shared" si="0"/>
        <v>9</v>
      </c>
      <c r="D16" s="6" t="s">
        <v>614</v>
      </c>
      <c r="E16" s="7">
        <v>6</v>
      </c>
      <c r="F16" s="8">
        <v>4</v>
      </c>
      <c r="G16" s="7">
        <f t="shared" si="1"/>
        <v>1.5</v>
      </c>
      <c r="H16" s="7">
        <f t="shared" si="2"/>
        <v>13.5</v>
      </c>
      <c r="I16" s="7">
        <f t="shared" si="3"/>
        <v>7.5000000000000011E-2</v>
      </c>
      <c r="J16" s="442">
        <f t="shared" si="4"/>
        <v>0.67500000000000004</v>
      </c>
      <c r="K16" s="34">
        <f t="shared" si="5"/>
        <v>14.174999999999999</v>
      </c>
      <c r="M16" s="17"/>
      <c r="N16" s="17"/>
      <c r="O16" s="17"/>
      <c r="P16" s="17"/>
    </row>
    <row r="17" spans="1:16" s="20" customFormat="1" ht="14.4">
      <c r="A17" s="42">
        <f>+A4+A5</f>
        <v>10</v>
      </c>
      <c r="B17" s="26"/>
      <c r="C17" s="56">
        <f t="shared" si="0"/>
        <v>87</v>
      </c>
      <c r="D17" s="6" t="s">
        <v>615</v>
      </c>
      <c r="E17" s="7">
        <v>5</v>
      </c>
      <c r="F17" s="8">
        <v>4</v>
      </c>
      <c r="G17" s="7">
        <f t="shared" si="1"/>
        <v>1.25</v>
      </c>
      <c r="H17" s="7">
        <f t="shared" si="2"/>
        <v>108.75</v>
      </c>
      <c r="I17" s="7">
        <f t="shared" si="3"/>
        <v>6.25E-2</v>
      </c>
      <c r="J17" s="442">
        <f t="shared" si="4"/>
        <v>5.4375</v>
      </c>
      <c r="K17" s="34">
        <f t="shared" si="5"/>
        <v>114.1875</v>
      </c>
      <c r="M17" s="17"/>
      <c r="N17" s="17"/>
      <c r="O17" s="17"/>
      <c r="P17" s="17"/>
    </row>
    <row r="18" spans="1:16" s="20" customFormat="1" ht="14.4">
      <c r="A18" s="42">
        <v>2</v>
      </c>
      <c r="B18" s="26"/>
      <c r="C18" s="56">
        <f t="shared" si="0"/>
        <v>17</v>
      </c>
      <c r="D18" s="6" t="s">
        <v>616</v>
      </c>
      <c r="E18" s="7">
        <v>10</v>
      </c>
      <c r="F18" s="8">
        <v>4</v>
      </c>
      <c r="G18" s="7">
        <f t="shared" si="1"/>
        <v>2.5</v>
      </c>
      <c r="H18" s="7">
        <f t="shared" si="2"/>
        <v>42.5</v>
      </c>
      <c r="I18" s="7">
        <f t="shared" si="3"/>
        <v>0.125</v>
      </c>
      <c r="J18" s="442">
        <f t="shared" si="4"/>
        <v>2.125</v>
      </c>
      <c r="K18" s="34">
        <f t="shared" si="5"/>
        <v>44.625</v>
      </c>
      <c r="M18" s="17"/>
      <c r="N18" s="17"/>
      <c r="O18" s="17"/>
      <c r="P18" s="17"/>
    </row>
    <row r="19" spans="1:16" s="20" customFormat="1" ht="14.4">
      <c r="A19" s="42">
        <v>2</v>
      </c>
      <c r="B19" s="26"/>
      <c r="C19" s="56">
        <f t="shared" si="0"/>
        <v>17</v>
      </c>
      <c r="D19" s="6" t="s">
        <v>617</v>
      </c>
      <c r="E19" s="7">
        <v>6</v>
      </c>
      <c r="F19" s="8">
        <v>2</v>
      </c>
      <c r="G19" s="7">
        <f t="shared" si="1"/>
        <v>3</v>
      </c>
      <c r="H19" s="7">
        <f t="shared" si="2"/>
        <v>51</v>
      </c>
      <c r="I19" s="7">
        <f t="shared" si="3"/>
        <v>0.15000000000000002</v>
      </c>
      <c r="J19" s="442">
        <f t="shared" si="4"/>
        <v>2.5500000000000003</v>
      </c>
      <c r="K19" s="34">
        <f t="shared" si="5"/>
        <v>53.55</v>
      </c>
      <c r="M19" s="17"/>
      <c r="N19" s="17"/>
      <c r="O19" s="17"/>
      <c r="P19" s="17"/>
    </row>
    <row r="20" spans="1:16" s="20" customFormat="1" ht="14.4">
      <c r="A20" s="42">
        <v>4</v>
      </c>
      <c r="B20" s="26"/>
      <c r="C20" s="56">
        <f t="shared" si="0"/>
        <v>35</v>
      </c>
      <c r="D20" s="6" t="s">
        <v>618</v>
      </c>
      <c r="E20" s="7">
        <v>6</v>
      </c>
      <c r="F20" s="8">
        <v>2</v>
      </c>
      <c r="G20" s="7">
        <f t="shared" si="1"/>
        <v>3</v>
      </c>
      <c r="H20" s="7">
        <f t="shared" si="2"/>
        <v>105</v>
      </c>
      <c r="I20" s="7">
        <f t="shared" si="3"/>
        <v>0.15000000000000002</v>
      </c>
      <c r="J20" s="442">
        <f t="shared" si="4"/>
        <v>5.2500000000000009</v>
      </c>
      <c r="K20" s="34">
        <f t="shared" si="5"/>
        <v>110.25</v>
      </c>
      <c r="M20" s="17"/>
      <c r="N20" s="17"/>
      <c r="O20" s="17"/>
      <c r="P20" s="17"/>
    </row>
    <row r="21" spans="1:16" s="20" customFormat="1" ht="14.4">
      <c r="A21" s="42">
        <v>1</v>
      </c>
      <c r="B21" s="26"/>
      <c r="C21" s="56">
        <f t="shared" si="0"/>
        <v>9</v>
      </c>
      <c r="D21" s="6" t="s">
        <v>619</v>
      </c>
      <c r="E21" s="7">
        <v>12</v>
      </c>
      <c r="F21" s="8">
        <v>2</v>
      </c>
      <c r="G21" s="7">
        <f t="shared" si="1"/>
        <v>6</v>
      </c>
      <c r="H21" s="7">
        <f t="shared" si="2"/>
        <v>54</v>
      </c>
      <c r="I21" s="7">
        <f t="shared" si="3"/>
        <v>0.30000000000000004</v>
      </c>
      <c r="J21" s="442">
        <f t="shared" si="4"/>
        <v>2.7</v>
      </c>
      <c r="K21" s="34">
        <f t="shared" si="5"/>
        <v>56.699999999999996</v>
      </c>
      <c r="M21" s="17"/>
      <c r="N21" s="17"/>
      <c r="O21" s="17"/>
      <c r="P21" s="17"/>
    </row>
    <row r="22" spans="1:16" s="20" customFormat="1" ht="14.4">
      <c r="A22" s="42">
        <v>1</v>
      </c>
      <c r="B22" s="26"/>
      <c r="C22" s="56">
        <f t="shared" si="0"/>
        <v>9</v>
      </c>
      <c r="D22" s="6" t="s">
        <v>620</v>
      </c>
      <c r="E22" s="7">
        <v>24</v>
      </c>
      <c r="F22" s="8">
        <v>4</v>
      </c>
      <c r="G22" s="7">
        <f t="shared" si="1"/>
        <v>6</v>
      </c>
      <c r="H22" s="7">
        <f t="shared" si="2"/>
        <v>54</v>
      </c>
      <c r="I22" s="7">
        <f t="shared" si="3"/>
        <v>0.30000000000000004</v>
      </c>
      <c r="J22" s="442">
        <f t="shared" si="4"/>
        <v>2.7</v>
      </c>
      <c r="K22" s="34">
        <f t="shared" si="5"/>
        <v>56.699999999999996</v>
      </c>
      <c r="M22" s="17"/>
      <c r="N22" s="17"/>
      <c r="O22" s="17"/>
      <c r="P22" s="17"/>
    </row>
    <row r="23" spans="1:16" s="20" customFormat="1" ht="14.4">
      <c r="A23" s="42">
        <v>1</v>
      </c>
      <c r="B23" s="26"/>
      <c r="C23" s="56">
        <f t="shared" si="0"/>
        <v>9</v>
      </c>
      <c r="D23" s="6" t="s">
        <v>621</v>
      </c>
      <c r="E23" s="7">
        <v>18</v>
      </c>
      <c r="F23" s="8">
        <v>4</v>
      </c>
      <c r="G23" s="7">
        <f t="shared" si="1"/>
        <v>4.5</v>
      </c>
      <c r="H23" s="7">
        <f t="shared" si="2"/>
        <v>40.5</v>
      </c>
      <c r="I23" s="7">
        <f t="shared" si="3"/>
        <v>0.22500000000000001</v>
      </c>
      <c r="J23" s="442">
        <f t="shared" si="4"/>
        <v>2.0249999999999999</v>
      </c>
      <c r="K23" s="34">
        <f t="shared" si="5"/>
        <v>42.524999999999999</v>
      </c>
      <c r="M23" s="17"/>
      <c r="N23" s="17"/>
      <c r="O23" s="17"/>
      <c r="P23" s="17"/>
    </row>
    <row r="24" spans="1:16" s="20" customFormat="1" ht="14.4">
      <c r="A24" s="42">
        <v>1</v>
      </c>
      <c r="B24" s="26"/>
      <c r="C24" s="56">
        <f t="shared" si="0"/>
        <v>9</v>
      </c>
      <c r="D24" s="6" t="s">
        <v>622</v>
      </c>
      <c r="E24" s="7">
        <v>45</v>
      </c>
      <c r="F24" s="8">
        <v>4</v>
      </c>
      <c r="G24" s="7">
        <f t="shared" si="1"/>
        <v>11.25</v>
      </c>
      <c r="H24" s="7">
        <f t="shared" si="2"/>
        <v>101.25</v>
      </c>
      <c r="I24" s="7">
        <f t="shared" si="3"/>
        <v>0.5625</v>
      </c>
      <c r="J24" s="442">
        <f t="shared" si="4"/>
        <v>5.0625</v>
      </c>
      <c r="K24" s="34">
        <f t="shared" si="5"/>
        <v>106.3125</v>
      </c>
      <c r="M24" s="17"/>
      <c r="N24" s="17"/>
      <c r="O24" s="17"/>
      <c r="P24" s="17"/>
    </row>
    <row r="25" spans="1:16" s="19" customFormat="1" ht="15" customHeight="1">
      <c r="A25" s="265"/>
      <c r="B25" s="25"/>
      <c r="C25" s="275"/>
      <c r="D25" s="265" t="s">
        <v>623</v>
      </c>
      <c r="E25" s="265"/>
      <c r="F25" s="265"/>
      <c r="G25" s="265"/>
      <c r="H25" s="265"/>
      <c r="I25" s="278"/>
      <c r="J25" s="278"/>
      <c r="K25" s="277"/>
      <c r="M25"/>
      <c r="N25"/>
      <c r="O25"/>
      <c r="P25"/>
    </row>
    <row r="26" spans="1:16" s="20" customFormat="1" ht="12.75" customHeight="1">
      <c r="A26" s="42">
        <v>3</v>
      </c>
      <c r="B26" s="26"/>
      <c r="C26" s="56">
        <f t="shared" si="0"/>
        <v>26</v>
      </c>
      <c r="D26" s="6" t="s">
        <v>624</v>
      </c>
      <c r="E26" s="7">
        <v>6</v>
      </c>
      <c r="F26" s="8">
        <v>2</v>
      </c>
      <c r="G26" s="7">
        <f>E26/F26</f>
        <v>3</v>
      </c>
      <c r="H26" s="7">
        <f>G26*C26</f>
        <v>78</v>
      </c>
      <c r="I26" s="7">
        <f t="shared" si="3"/>
        <v>0.15000000000000002</v>
      </c>
      <c r="J26" s="442">
        <f>I26*C26</f>
        <v>3.9000000000000004</v>
      </c>
      <c r="K26" s="34">
        <f>C26*(G26+I26)</f>
        <v>81.899999999999991</v>
      </c>
      <c r="M26" s="17"/>
      <c r="N26" s="17"/>
      <c r="O26" s="17"/>
      <c r="P26" s="17"/>
    </row>
    <row r="27" spans="1:16" s="20" customFormat="1" ht="12.75" customHeight="1">
      <c r="A27" s="42">
        <v>4</v>
      </c>
      <c r="B27" s="26"/>
      <c r="C27" s="56">
        <f t="shared" si="0"/>
        <v>35</v>
      </c>
      <c r="D27" s="6" t="s">
        <v>625</v>
      </c>
      <c r="E27" s="7">
        <v>7</v>
      </c>
      <c r="F27" s="8">
        <v>2</v>
      </c>
      <c r="G27" s="7">
        <f>E27/F27</f>
        <v>3.5</v>
      </c>
      <c r="H27" s="7">
        <f>G27*C27</f>
        <v>122.5</v>
      </c>
      <c r="I27" s="7">
        <f t="shared" si="3"/>
        <v>0.17500000000000002</v>
      </c>
      <c r="J27" s="442">
        <f>I27*C27</f>
        <v>6.1250000000000009</v>
      </c>
      <c r="K27" s="34">
        <f>C27*(G27+I27)</f>
        <v>128.625</v>
      </c>
      <c r="M27" s="17"/>
      <c r="N27" s="17"/>
      <c r="O27" s="17"/>
      <c r="P27" s="17"/>
    </row>
    <row r="28" spans="1:16" s="20" customFormat="1" ht="12.75" customHeight="1">
      <c r="A28" s="42">
        <v>2</v>
      </c>
      <c r="B28" s="26"/>
      <c r="C28" s="56">
        <f t="shared" si="0"/>
        <v>17</v>
      </c>
      <c r="D28" s="6" t="s">
        <v>626</v>
      </c>
      <c r="E28" s="7">
        <v>15</v>
      </c>
      <c r="F28" s="8">
        <v>2</v>
      </c>
      <c r="G28" s="7">
        <f>E28/F28</f>
        <v>7.5</v>
      </c>
      <c r="H28" s="7">
        <f>G28*C28</f>
        <v>127.5</v>
      </c>
      <c r="I28" s="7">
        <f t="shared" si="3"/>
        <v>0.375</v>
      </c>
      <c r="J28" s="442">
        <f>I28*C28</f>
        <v>6.375</v>
      </c>
      <c r="K28" s="34">
        <f>C28*(G28+I28)</f>
        <v>133.875</v>
      </c>
      <c r="M28" s="17"/>
      <c r="N28" s="17"/>
      <c r="O28" s="17"/>
      <c r="P28" s="17"/>
    </row>
    <row r="29" spans="1:16" s="20" customFormat="1" ht="14.4">
      <c r="A29" s="42">
        <v>2</v>
      </c>
      <c r="B29" s="26"/>
      <c r="C29" s="56">
        <f t="shared" si="0"/>
        <v>17</v>
      </c>
      <c r="D29" s="6" t="s">
        <v>627</v>
      </c>
      <c r="E29" s="7">
        <v>12</v>
      </c>
      <c r="F29" s="8">
        <v>2</v>
      </c>
      <c r="G29" s="7">
        <f>E29/F29</f>
        <v>6</v>
      </c>
      <c r="H29" s="7">
        <f>G29*C29</f>
        <v>102</v>
      </c>
      <c r="I29" s="7">
        <f t="shared" si="3"/>
        <v>0.30000000000000004</v>
      </c>
      <c r="J29" s="442">
        <f>I29*C29</f>
        <v>5.1000000000000005</v>
      </c>
      <c r="K29" s="34">
        <f>C29*(G29+I29)</f>
        <v>107.1</v>
      </c>
      <c r="M29" s="17"/>
      <c r="N29" s="17"/>
      <c r="O29" s="17"/>
      <c r="P29" s="17"/>
    </row>
    <row r="30" spans="1:16" s="19" customFormat="1" ht="15" customHeight="1">
      <c r="A30" s="265"/>
      <c r="B30" s="25"/>
      <c r="C30" s="275"/>
      <c r="D30" s="265" t="s">
        <v>628</v>
      </c>
      <c r="E30" s="265"/>
      <c r="F30" s="265"/>
      <c r="G30" s="265"/>
      <c r="H30" s="265"/>
      <c r="I30" s="278"/>
      <c r="J30" s="278"/>
      <c r="K30" s="277"/>
      <c r="M30"/>
      <c r="N30"/>
      <c r="O30"/>
      <c r="P30"/>
    </row>
    <row r="31" spans="1:16" s="20" customFormat="1" ht="14.4">
      <c r="A31" s="42">
        <v>5</v>
      </c>
      <c r="B31" s="26"/>
      <c r="C31" s="56">
        <f t="shared" si="0"/>
        <v>44</v>
      </c>
      <c r="D31" s="6" t="s">
        <v>629</v>
      </c>
      <c r="E31" s="7">
        <v>35</v>
      </c>
      <c r="F31" s="8">
        <v>2</v>
      </c>
      <c r="G31" s="7">
        <f t="shared" ref="G31:G40" si="6">E31/F31</f>
        <v>17.5</v>
      </c>
      <c r="H31" s="7">
        <f t="shared" ref="H31:H40" si="7">G31*C31</f>
        <v>770</v>
      </c>
      <c r="I31" s="7">
        <f t="shared" si="3"/>
        <v>0.875</v>
      </c>
      <c r="J31" s="442">
        <f t="shared" ref="J31:J40" si="8">I31*C31</f>
        <v>38.5</v>
      </c>
      <c r="K31" s="34">
        <f t="shared" ref="K31:K40" si="9">C31*(G31+I31)</f>
        <v>808.5</v>
      </c>
      <c r="M31" s="17"/>
      <c r="N31" s="17"/>
      <c r="O31" s="17"/>
      <c r="P31" s="17"/>
    </row>
    <row r="32" spans="1:16" s="20" customFormat="1" ht="14.4">
      <c r="A32" s="42">
        <v>5</v>
      </c>
      <c r="B32" s="26"/>
      <c r="C32" s="56">
        <f t="shared" si="0"/>
        <v>44</v>
      </c>
      <c r="D32" s="6" t="s">
        <v>630</v>
      </c>
      <c r="E32" s="7">
        <v>30</v>
      </c>
      <c r="F32" s="8">
        <v>2</v>
      </c>
      <c r="G32" s="7">
        <f t="shared" si="6"/>
        <v>15</v>
      </c>
      <c r="H32" s="7">
        <f t="shared" si="7"/>
        <v>660</v>
      </c>
      <c r="I32" s="7">
        <f t="shared" si="3"/>
        <v>0.75</v>
      </c>
      <c r="J32" s="442">
        <f t="shared" si="8"/>
        <v>33</v>
      </c>
      <c r="K32" s="34">
        <f t="shared" si="9"/>
        <v>693</v>
      </c>
      <c r="M32" s="17"/>
      <c r="N32" s="17"/>
      <c r="O32" s="17"/>
      <c r="P32" s="17"/>
    </row>
    <row r="33" spans="1:16" s="20" customFormat="1" ht="14.4">
      <c r="A33" s="42">
        <v>6</v>
      </c>
      <c r="B33" s="26"/>
      <c r="C33" s="56">
        <f t="shared" si="0"/>
        <v>52</v>
      </c>
      <c r="D33" s="6" t="s">
        <v>631</v>
      </c>
      <c r="E33" s="7">
        <v>9</v>
      </c>
      <c r="F33" s="8">
        <v>2</v>
      </c>
      <c r="G33" s="7">
        <f t="shared" si="6"/>
        <v>4.5</v>
      </c>
      <c r="H33" s="7">
        <f t="shared" si="7"/>
        <v>234</v>
      </c>
      <c r="I33" s="7">
        <f t="shared" si="3"/>
        <v>0.22500000000000001</v>
      </c>
      <c r="J33" s="442">
        <f t="shared" si="8"/>
        <v>11.700000000000001</v>
      </c>
      <c r="K33" s="34">
        <f t="shared" si="9"/>
        <v>245.7</v>
      </c>
      <c r="M33" s="17"/>
      <c r="N33" s="17"/>
      <c r="O33" s="17"/>
      <c r="P33" s="17"/>
    </row>
    <row r="34" spans="1:16" s="20" customFormat="1" ht="14.4">
      <c r="A34" s="42">
        <v>1</v>
      </c>
      <c r="B34" s="26"/>
      <c r="C34" s="56">
        <f t="shared" si="0"/>
        <v>9</v>
      </c>
      <c r="D34" s="6" t="s">
        <v>632</v>
      </c>
      <c r="E34" s="7">
        <v>12</v>
      </c>
      <c r="F34" s="8">
        <v>2</v>
      </c>
      <c r="G34" s="7">
        <f t="shared" si="6"/>
        <v>6</v>
      </c>
      <c r="H34" s="7">
        <f t="shared" si="7"/>
        <v>54</v>
      </c>
      <c r="I34" s="7">
        <f t="shared" si="3"/>
        <v>0.30000000000000004</v>
      </c>
      <c r="J34" s="442">
        <f t="shared" si="8"/>
        <v>2.7</v>
      </c>
      <c r="K34" s="34">
        <f t="shared" si="9"/>
        <v>56.699999999999996</v>
      </c>
      <c r="M34" s="17"/>
      <c r="N34" s="17"/>
      <c r="O34" s="17"/>
      <c r="P34" s="17"/>
    </row>
    <row r="35" spans="1:16" s="20" customFormat="1" ht="14.4">
      <c r="A35" s="42">
        <v>2</v>
      </c>
      <c r="B35" s="26"/>
      <c r="C35" s="56">
        <f t="shared" si="0"/>
        <v>17</v>
      </c>
      <c r="D35" s="6" t="s">
        <v>633</v>
      </c>
      <c r="E35" s="7">
        <v>15</v>
      </c>
      <c r="F35" s="8">
        <v>2</v>
      </c>
      <c r="G35" s="7">
        <f t="shared" si="6"/>
        <v>7.5</v>
      </c>
      <c r="H35" s="7">
        <f t="shared" si="7"/>
        <v>127.5</v>
      </c>
      <c r="I35" s="7">
        <f t="shared" si="3"/>
        <v>0.375</v>
      </c>
      <c r="J35" s="442">
        <f t="shared" si="8"/>
        <v>6.375</v>
      </c>
      <c r="K35" s="34">
        <f t="shared" si="9"/>
        <v>133.875</v>
      </c>
      <c r="M35" s="17"/>
      <c r="N35" s="17"/>
      <c r="O35" s="17"/>
      <c r="P35" s="17"/>
    </row>
    <row r="36" spans="1:16" s="20" customFormat="1" ht="14.4">
      <c r="A36" s="42">
        <v>2</v>
      </c>
      <c r="B36" s="26"/>
      <c r="C36" s="56">
        <f t="shared" si="0"/>
        <v>17</v>
      </c>
      <c r="D36" s="6" t="s">
        <v>634</v>
      </c>
      <c r="E36" s="7">
        <v>2</v>
      </c>
      <c r="F36" s="8">
        <v>2</v>
      </c>
      <c r="G36" s="7">
        <f t="shared" si="6"/>
        <v>1</v>
      </c>
      <c r="H36" s="7">
        <f t="shared" si="7"/>
        <v>17</v>
      </c>
      <c r="I36" s="7">
        <f t="shared" si="3"/>
        <v>0.05</v>
      </c>
      <c r="J36" s="442">
        <f t="shared" si="8"/>
        <v>0.85000000000000009</v>
      </c>
      <c r="K36" s="34">
        <f t="shared" si="9"/>
        <v>17.850000000000001</v>
      </c>
      <c r="M36" s="17"/>
      <c r="N36" s="17"/>
      <c r="O36" s="17"/>
      <c r="P36" s="17"/>
    </row>
    <row r="37" spans="1:16" s="20" customFormat="1" ht="14.4">
      <c r="A37" s="42">
        <v>1</v>
      </c>
      <c r="B37" s="26"/>
      <c r="C37" s="56">
        <f t="shared" si="0"/>
        <v>9</v>
      </c>
      <c r="D37" s="6" t="s">
        <v>635</v>
      </c>
      <c r="E37" s="7">
        <v>25</v>
      </c>
      <c r="F37" s="8">
        <v>2</v>
      </c>
      <c r="G37" s="7">
        <f t="shared" si="6"/>
        <v>12.5</v>
      </c>
      <c r="H37" s="7">
        <f t="shared" si="7"/>
        <v>112.5</v>
      </c>
      <c r="I37" s="7">
        <f t="shared" si="3"/>
        <v>0.625</v>
      </c>
      <c r="J37" s="442">
        <f t="shared" si="8"/>
        <v>5.625</v>
      </c>
      <c r="K37" s="34">
        <f t="shared" si="9"/>
        <v>118.125</v>
      </c>
      <c r="M37" s="17"/>
      <c r="N37" s="17"/>
      <c r="O37" s="17"/>
      <c r="P37" s="17"/>
    </row>
    <row r="38" spans="1:16" s="20" customFormat="1" ht="14.4">
      <c r="A38" s="42">
        <v>2</v>
      </c>
      <c r="B38" s="26"/>
      <c r="C38" s="56">
        <f t="shared" si="0"/>
        <v>17</v>
      </c>
      <c r="D38" s="6" t="s">
        <v>636</v>
      </c>
      <c r="E38" s="7">
        <v>12</v>
      </c>
      <c r="F38" s="8">
        <v>2</v>
      </c>
      <c r="G38" s="7">
        <f t="shared" si="6"/>
        <v>6</v>
      </c>
      <c r="H38" s="7">
        <f t="shared" si="7"/>
        <v>102</v>
      </c>
      <c r="I38" s="7">
        <f t="shared" si="3"/>
        <v>0.30000000000000004</v>
      </c>
      <c r="J38" s="442">
        <f t="shared" si="8"/>
        <v>5.1000000000000005</v>
      </c>
      <c r="K38" s="34">
        <f t="shared" si="9"/>
        <v>107.1</v>
      </c>
      <c r="M38" s="17"/>
      <c r="N38" s="17"/>
      <c r="O38" s="17"/>
      <c r="P38" s="17"/>
    </row>
    <row r="39" spans="1:16" s="20" customFormat="1" ht="14.4">
      <c r="A39" s="42">
        <v>0.5</v>
      </c>
      <c r="B39" s="26"/>
      <c r="C39" s="56">
        <f t="shared" si="0"/>
        <v>4</v>
      </c>
      <c r="D39" s="6" t="s">
        <v>637</v>
      </c>
      <c r="E39" s="7">
        <v>12</v>
      </c>
      <c r="F39" s="8">
        <v>2</v>
      </c>
      <c r="G39" s="7">
        <f t="shared" si="6"/>
        <v>6</v>
      </c>
      <c r="H39" s="7">
        <f t="shared" si="7"/>
        <v>24</v>
      </c>
      <c r="I39" s="7">
        <f t="shared" si="3"/>
        <v>0.30000000000000004</v>
      </c>
      <c r="J39" s="442">
        <f t="shared" si="8"/>
        <v>1.2000000000000002</v>
      </c>
      <c r="K39" s="34">
        <f t="shared" si="9"/>
        <v>25.2</v>
      </c>
      <c r="M39" s="17"/>
      <c r="N39" s="17"/>
      <c r="O39" s="17"/>
      <c r="P39" s="17"/>
    </row>
    <row r="40" spans="1:16" s="20" customFormat="1" ht="14.4">
      <c r="A40" s="42">
        <v>1</v>
      </c>
      <c r="B40" s="26"/>
      <c r="C40" s="56">
        <f t="shared" si="0"/>
        <v>9</v>
      </c>
      <c r="D40" s="6" t="s">
        <v>638</v>
      </c>
      <c r="E40" s="7">
        <v>18</v>
      </c>
      <c r="F40" s="8">
        <v>2</v>
      </c>
      <c r="G40" s="7">
        <f t="shared" si="6"/>
        <v>9</v>
      </c>
      <c r="H40" s="7">
        <f t="shared" si="7"/>
        <v>81</v>
      </c>
      <c r="I40" s="7">
        <f t="shared" si="3"/>
        <v>0.45</v>
      </c>
      <c r="J40" s="442">
        <f t="shared" si="8"/>
        <v>4.05</v>
      </c>
      <c r="K40" s="34">
        <f t="shared" si="9"/>
        <v>85.05</v>
      </c>
      <c r="M40" s="17"/>
      <c r="N40" s="17"/>
      <c r="O40" s="17"/>
      <c r="P40" s="17"/>
    </row>
    <row r="41" spans="1:16" s="19" customFormat="1" ht="15" customHeight="1">
      <c r="A41" s="265"/>
      <c r="B41" s="25"/>
      <c r="C41" s="275"/>
      <c r="D41" s="265" t="s">
        <v>639</v>
      </c>
      <c r="E41" s="265"/>
      <c r="F41" s="265"/>
      <c r="G41" s="265"/>
      <c r="H41" s="265"/>
      <c r="I41" s="278"/>
      <c r="J41" s="278"/>
      <c r="K41" s="277"/>
      <c r="M41"/>
      <c r="N41"/>
      <c r="O41"/>
      <c r="P41"/>
    </row>
    <row r="42" spans="1:16" s="20" customFormat="1" ht="12.75" customHeight="1">
      <c r="A42" s="42">
        <v>1</v>
      </c>
      <c r="B42" s="26"/>
      <c r="C42" s="56">
        <f t="shared" si="0"/>
        <v>9</v>
      </c>
      <c r="D42" s="6" t="s">
        <v>640</v>
      </c>
      <c r="E42" s="7">
        <v>48</v>
      </c>
      <c r="F42" s="8">
        <v>4</v>
      </c>
      <c r="G42" s="7">
        <f t="shared" ref="G42:G49" si="10">E42/F42</f>
        <v>12</v>
      </c>
      <c r="H42" s="7">
        <f t="shared" ref="H42:H49" si="11">G42*C42</f>
        <v>108</v>
      </c>
      <c r="I42" s="7">
        <f t="shared" si="3"/>
        <v>0.60000000000000009</v>
      </c>
      <c r="J42" s="442">
        <f t="shared" ref="J42:J49" si="12">I42*C42</f>
        <v>5.4</v>
      </c>
      <c r="K42" s="34">
        <f t="shared" ref="K42:K49" si="13">C42*(G42+I42)</f>
        <v>113.39999999999999</v>
      </c>
    </row>
    <row r="43" spans="1:16" s="20" customFormat="1" ht="14.4">
      <c r="A43" s="42">
        <v>1</v>
      </c>
      <c r="B43" s="26"/>
      <c r="C43" s="56">
        <f t="shared" si="0"/>
        <v>9</v>
      </c>
      <c r="D43" s="6" t="s">
        <v>641</v>
      </c>
      <c r="E43" s="7">
        <v>25</v>
      </c>
      <c r="F43" s="8">
        <v>4</v>
      </c>
      <c r="G43" s="7">
        <f t="shared" si="10"/>
        <v>6.25</v>
      </c>
      <c r="H43" s="7">
        <f t="shared" si="11"/>
        <v>56.25</v>
      </c>
      <c r="I43" s="7">
        <f t="shared" si="3"/>
        <v>0.3125</v>
      </c>
      <c r="J43" s="442">
        <f t="shared" si="12"/>
        <v>2.8125</v>
      </c>
      <c r="K43" s="34">
        <f t="shared" si="13"/>
        <v>59.0625</v>
      </c>
    </row>
    <row r="44" spans="1:16" s="20" customFormat="1" ht="14.4">
      <c r="A44" s="42">
        <v>4</v>
      </c>
      <c r="B44" s="26"/>
      <c r="C44" s="56">
        <f t="shared" si="0"/>
        <v>35</v>
      </c>
      <c r="D44" s="6" t="s">
        <v>642</v>
      </c>
      <c r="E44" s="7">
        <v>36</v>
      </c>
      <c r="F44" s="8">
        <v>4</v>
      </c>
      <c r="G44" s="7">
        <f t="shared" si="10"/>
        <v>9</v>
      </c>
      <c r="H44" s="7">
        <f t="shared" si="11"/>
        <v>315</v>
      </c>
      <c r="I44" s="7">
        <f t="shared" si="3"/>
        <v>0.45</v>
      </c>
      <c r="J44" s="442">
        <f t="shared" si="12"/>
        <v>15.75</v>
      </c>
      <c r="K44" s="34">
        <f t="shared" si="13"/>
        <v>330.75</v>
      </c>
      <c r="M44" s="17"/>
      <c r="N44" s="17"/>
      <c r="O44" s="17"/>
      <c r="P44" s="17"/>
    </row>
    <row r="45" spans="1:16" s="20" customFormat="1" ht="14.4">
      <c r="A45" s="42">
        <v>1</v>
      </c>
      <c r="B45" s="26"/>
      <c r="C45" s="56">
        <f t="shared" si="0"/>
        <v>9</v>
      </c>
      <c r="D45" s="6" t="s">
        <v>643</v>
      </c>
      <c r="E45" s="7">
        <v>380</v>
      </c>
      <c r="F45" s="8">
        <v>4</v>
      </c>
      <c r="G45" s="7">
        <f t="shared" si="10"/>
        <v>95</v>
      </c>
      <c r="H45" s="7">
        <f t="shared" si="11"/>
        <v>855</v>
      </c>
      <c r="I45" s="7">
        <f t="shared" si="3"/>
        <v>4.75</v>
      </c>
      <c r="J45" s="442">
        <f t="shared" si="12"/>
        <v>42.75</v>
      </c>
      <c r="K45" s="34">
        <f t="shared" si="13"/>
        <v>897.75</v>
      </c>
      <c r="M45" s="17"/>
      <c r="N45" s="17"/>
      <c r="O45" s="17"/>
      <c r="P45" s="17"/>
    </row>
    <row r="46" spans="1:16" s="20" customFormat="1" ht="14.4">
      <c r="A46" s="42">
        <v>1</v>
      </c>
      <c r="B46" s="26"/>
      <c r="C46" s="56">
        <f t="shared" si="0"/>
        <v>9</v>
      </c>
      <c r="D46" s="6" t="s">
        <v>644</v>
      </c>
      <c r="E46" s="7">
        <v>120</v>
      </c>
      <c r="F46" s="8">
        <v>4</v>
      </c>
      <c r="G46" s="7">
        <f t="shared" si="10"/>
        <v>30</v>
      </c>
      <c r="H46" s="7">
        <f t="shared" si="11"/>
        <v>270</v>
      </c>
      <c r="I46" s="7">
        <f t="shared" si="3"/>
        <v>1.5</v>
      </c>
      <c r="J46" s="442">
        <f t="shared" si="12"/>
        <v>13.5</v>
      </c>
      <c r="K46" s="34">
        <f t="shared" si="13"/>
        <v>283.5</v>
      </c>
      <c r="M46" s="17"/>
      <c r="N46" s="17"/>
      <c r="O46" s="17"/>
      <c r="P46" s="17"/>
    </row>
    <row r="47" spans="1:16" s="20" customFormat="1" ht="14.4">
      <c r="A47" s="42">
        <v>60</v>
      </c>
      <c r="B47" s="26"/>
      <c r="C47" s="56">
        <f t="shared" si="0"/>
        <v>522</v>
      </c>
      <c r="D47" s="6" t="s">
        <v>645</v>
      </c>
      <c r="E47" s="7">
        <v>3.5</v>
      </c>
      <c r="F47" s="8">
        <v>1</v>
      </c>
      <c r="G47" s="7">
        <f t="shared" si="10"/>
        <v>3.5</v>
      </c>
      <c r="H47" s="7">
        <f t="shared" si="11"/>
        <v>1827</v>
      </c>
      <c r="I47" s="7">
        <f t="shared" si="3"/>
        <v>0.17500000000000002</v>
      </c>
      <c r="J47" s="442">
        <f t="shared" si="12"/>
        <v>91.350000000000009</v>
      </c>
      <c r="K47" s="34">
        <f t="shared" si="13"/>
        <v>1918.35</v>
      </c>
      <c r="M47" s="17"/>
      <c r="N47" s="17"/>
      <c r="O47" s="17"/>
      <c r="P47" s="17"/>
    </row>
    <row r="48" spans="1:16" s="20" customFormat="1" ht="14.4">
      <c r="A48" s="42">
        <v>5</v>
      </c>
      <c r="B48" s="26"/>
      <c r="C48" s="56">
        <f t="shared" si="0"/>
        <v>44</v>
      </c>
      <c r="D48" s="6" t="s">
        <v>646</v>
      </c>
      <c r="E48" s="7">
        <v>22</v>
      </c>
      <c r="F48" s="8">
        <v>4</v>
      </c>
      <c r="G48" s="7">
        <f t="shared" si="10"/>
        <v>5.5</v>
      </c>
      <c r="H48" s="7">
        <f t="shared" si="11"/>
        <v>242</v>
      </c>
      <c r="I48" s="7">
        <f t="shared" si="3"/>
        <v>0.27500000000000002</v>
      </c>
      <c r="J48" s="442">
        <f t="shared" si="12"/>
        <v>12.100000000000001</v>
      </c>
      <c r="K48" s="34">
        <f t="shared" si="13"/>
        <v>254.10000000000002</v>
      </c>
      <c r="M48" s="17"/>
      <c r="N48" s="17"/>
      <c r="O48" s="17"/>
      <c r="P48" s="17"/>
    </row>
    <row r="49" spans="1:16" s="20" customFormat="1" ht="14.4">
      <c r="A49" s="73">
        <v>20000</v>
      </c>
      <c r="B49" s="26"/>
      <c r="C49" s="56">
        <f t="shared" si="0"/>
        <v>174000</v>
      </c>
      <c r="D49" s="6" t="s">
        <v>647</v>
      </c>
      <c r="E49" s="7">
        <v>0.02</v>
      </c>
      <c r="F49" s="8">
        <v>1</v>
      </c>
      <c r="G49" s="7">
        <f t="shared" si="10"/>
        <v>0.02</v>
      </c>
      <c r="H49" s="7">
        <f t="shared" si="11"/>
        <v>3480</v>
      </c>
      <c r="I49" s="7">
        <f t="shared" si="3"/>
        <v>1E-3</v>
      </c>
      <c r="J49" s="442">
        <f t="shared" si="12"/>
        <v>174</v>
      </c>
      <c r="K49" s="34">
        <f t="shared" si="13"/>
        <v>3654</v>
      </c>
      <c r="M49" s="17"/>
      <c r="N49" s="17"/>
      <c r="O49" s="17"/>
      <c r="P49" s="17"/>
    </row>
    <row r="50" spans="1:16" s="19" customFormat="1" ht="15" customHeight="1">
      <c r="A50" s="265"/>
      <c r="B50" s="25"/>
      <c r="C50" s="275"/>
      <c r="D50" s="265" t="s">
        <v>648</v>
      </c>
      <c r="E50" s="265"/>
      <c r="F50" s="265"/>
      <c r="G50" s="265"/>
      <c r="H50" s="265"/>
      <c r="I50" s="278"/>
      <c r="J50" s="278"/>
      <c r="K50" s="277"/>
      <c r="M50"/>
      <c r="N50"/>
      <c r="O50"/>
      <c r="P50"/>
    </row>
    <row r="51" spans="1:16" s="20" customFormat="1" ht="14.4">
      <c r="A51" s="42">
        <v>0.5</v>
      </c>
      <c r="B51" s="26"/>
      <c r="C51" s="56">
        <f t="shared" si="0"/>
        <v>4</v>
      </c>
      <c r="D51" s="6" t="s">
        <v>649</v>
      </c>
      <c r="E51" s="7">
        <v>9</v>
      </c>
      <c r="F51" s="8">
        <v>4</v>
      </c>
      <c r="G51" s="7">
        <f t="shared" ref="G51:G60" si="14">E51/F51</f>
        <v>2.25</v>
      </c>
      <c r="H51" s="7">
        <f t="shared" ref="H51:H60" si="15">G51*C51</f>
        <v>9</v>
      </c>
      <c r="I51" s="7">
        <f t="shared" si="3"/>
        <v>0.1125</v>
      </c>
      <c r="J51" s="442">
        <f t="shared" ref="J51:J60" si="16">I51*C51</f>
        <v>0.45</v>
      </c>
      <c r="K51" s="34">
        <f t="shared" ref="K51:K60" si="17">C51*(G51+I51)</f>
        <v>9.4499999999999993</v>
      </c>
      <c r="M51" s="17"/>
      <c r="N51" s="17"/>
      <c r="O51" s="17"/>
      <c r="P51" s="17"/>
    </row>
    <row r="52" spans="1:16" s="20" customFormat="1" ht="14.4">
      <c r="A52" s="42">
        <v>0.5</v>
      </c>
      <c r="B52" s="26"/>
      <c r="C52" s="56">
        <f t="shared" si="0"/>
        <v>4</v>
      </c>
      <c r="D52" s="6" t="s">
        <v>650</v>
      </c>
      <c r="E52" s="7">
        <v>12</v>
      </c>
      <c r="F52" s="8">
        <v>4</v>
      </c>
      <c r="G52" s="7">
        <f t="shared" si="14"/>
        <v>3</v>
      </c>
      <c r="H52" s="7">
        <f t="shared" si="15"/>
        <v>12</v>
      </c>
      <c r="I52" s="7">
        <f t="shared" si="3"/>
        <v>0.15000000000000002</v>
      </c>
      <c r="J52" s="442">
        <f t="shared" si="16"/>
        <v>0.60000000000000009</v>
      </c>
      <c r="K52" s="34">
        <f t="shared" si="17"/>
        <v>12.6</v>
      </c>
      <c r="M52" s="17"/>
      <c r="N52" s="17"/>
      <c r="O52" s="17"/>
      <c r="P52" s="17"/>
    </row>
    <row r="53" spans="1:16" s="20" customFormat="1" ht="14.4">
      <c r="A53" s="42">
        <v>0.5</v>
      </c>
      <c r="B53" s="26"/>
      <c r="C53" s="56">
        <f t="shared" si="0"/>
        <v>4</v>
      </c>
      <c r="D53" s="6" t="s">
        <v>651</v>
      </c>
      <c r="E53" s="7">
        <v>12</v>
      </c>
      <c r="F53" s="8">
        <v>4</v>
      </c>
      <c r="G53" s="7">
        <f t="shared" si="14"/>
        <v>3</v>
      </c>
      <c r="H53" s="7">
        <f t="shared" si="15"/>
        <v>12</v>
      </c>
      <c r="I53" s="7">
        <f t="shared" si="3"/>
        <v>0.15000000000000002</v>
      </c>
      <c r="J53" s="442">
        <f t="shared" si="16"/>
        <v>0.60000000000000009</v>
      </c>
      <c r="K53" s="34">
        <f t="shared" si="17"/>
        <v>12.6</v>
      </c>
      <c r="M53" s="17"/>
      <c r="N53" s="17"/>
      <c r="O53" s="17"/>
      <c r="P53" s="17"/>
    </row>
    <row r="54" spans="1:16" s="20" customFormat="1" ht="14.4">
      <c r="A54" s="42">
        <v>1</v>
      </c>
      <c r="B54" s="26"/>
      <c r="C54" s="56">
        <f t="shared" si="0"/>
        <v>9</v>
      </c>
      <c r="D54" s="6" t="s">
        <v>652</v>
      </c>
      <c r="E54" s="7">
        <v>18</v>
      </c>
      <c r="F54" s="8">
        <v>4</v>
      </c>
      <c r="G54" s="7">
        <f t="shared" si="14"/>
        <v>4.5</v>
      </c>
      <c r="H54" s="7">
        <f t="shared" si="15"/>
        <v>40.5</v>
      </c>
      <c r="I54" s="7">
        <f t="shared" si="3"/>
        <v>0.22500000000000001</v>
      </c>
      <c r="J54" s="442">
        <f t="shared" si="16"/>
        <v>2.0249999999999999</v>
      </c>
      <c r="K54" s="34">
        <f t="shared" si="17"/>
        <v>42.524999999999999</v>
      </c>
      <c r="M54" s="17"/>
      <c r="N54" s="17"/>
      <c r="O54" s="17"/>
      <c r="P54" s="17"/>
    </row>
    <row r="55" spans="1:16" s="20" customFormat="1" ht="14.4">
      <c r="A55" s="42">
        <v>1</v>
      </c>
      <c r="B55" s="26"/>
      <c r="C55" s="56">
        <f t="shared" si="0"/>
        <v>9</v>
      </c>
      <c r="D55" s="6" t="s">
        <v>653</v>
      </c>
      <c r="E55" s="7">
        <v>4</v>
      </c>
      <c r="F55" s="8">
        <v>4</v>
      </c>
      <c r="G55" s="7">
        <f t="shared" si="14"/>
        <v>1</v>
      </c>
      <c r="H55" s="7">
        <f t="shared" si="15"/>
        <v>9</v>
      </c>
      <c r="I55" s="7">
        <f t="shared" si="3"/>
        <v>0.05</v>
      </c>
      <c r="J55" s="442">
        <f t="shared" si="16"/>
        <v>0.45</v>
      </c>
      <c r="K55" s="34">
        <f t="shared" si="17"/>
        <v>9.4500000000000011</v>
      </c>
      <c r="M55" s="17"/>
      <c r="N55" s="17"/>
      <c r="O55" s="17"/>
      <c r="P55" s="17"/>
    </row>
    <row r="56" spans="1:16" s="20" customFormat="1" ht="14.4">
      <c r="A56" s="42">
        <v>1</v>
      </c>
      <c r="B56" s="26"/>
      <c r="C56" s="56">
        <f t="shared" si="0"/>
        <v>9</v>
      </c>
      <c r="D56" s="6" t="s">
        <v>654</v>
      </c>
      <c r="E56" s="7">
        <v>4</v>
      </c>
      <c r="F56" s="8">
        <v>4</v>
      </c>
      <c r="G56" s="7">
        <f t="shared" si="14"/>
        <v>1</v>
      </c>
      <c r="H56" s="7">
        <f t="shared" si="15"/>
        <v>9</v>
      </c>
      <c r="I56" s="7">
        <f t="shared" si="3"/>
        <v>0.05</v>
      </c>
      <c r="J56" s="442">
        <f t="shared" si="16"/>
        <v>0.45</v>
      </c>
      <c r="K56" s="34">
        <f t="shared" si="17"/>
        <v>9.4500000000000011</v>
      </c>
      <c r="M56" s="17"/>
      <c r="N56" s="17"/>
      <c r="O56" s="17"/>
      <c r="P56" s="17"/>
    </row>
    <row r="57" spans="1:16" s="20" customFormat="1" ht="14.4">
      <c r="A57" s="42">
        <v>1</v>
      </c>
      <c r="B57" s="26"/>
      <c r="C57" s="56">
        <f t="shared" si="0"/>
        <v>9</v>
      </c>
      <c r="D57" s="6" t="s">
        <v>655</v>
      </c>
      <c r="E57" s="7">
        <v>6</v>
      </c>
      <c r="F57" s="8">
        <v>4</v>
      </c>
      <c r="G57" s="7">
        <f t="shared" si="14"/>
        <v>1.5</v>
      </c>
      <c r="H57" s="7">
        <f t="shared" si="15"/>
        <v>13.5</v>
      </c>
      <c r="I57" s="7">
        <f t="shared" si="3"/>
        <v>7.5000000000000011E-2</v>
      </c>
      <c r="J57" s="442">
        <f t="shared" si="16"/>
        <v>0.67500000000000004</v>
      </c>
      <c r="K57" s="34">
        <f t="shared" si="17"/>
        <v>14.174999999999999</v>
      </c>
      <c r="M57" s="17"/>
      <c r="N57" s="17"/>
      <c r="O57" s="17"/>
      <c r="P57" s="17"/>
    </row>
    <row r="58" spans="1:16" s="20" customFormat="1" ht="14.4">
      <c r="A58" s="42">
        <v>1</v>
      </c>
      <c r="B58" s="26"/>
      <c r="C58" s="56">
        <f t="shared" si="0"/>
        <v>9</v>
      </c>
      <c r="D58" s="6" t="s">
        <v>656</v>
      </c>
      <c r="E58" s="7">
        <v>10</v>
      </c>
      <c r="F58" s="8">
        <v>4</v>
      </c>
      <c r="G58" s="7">
        <f t="shared" si="14"/>
        <v>2.5</v>
      </c>
      <c r="H58" s="7">
        <f t="shared" si="15"/>
        <v>22.5</v>
      </c>
      <c r="I58" s="7">
        <f t="shared" si="3"/>
        <v>0.125</v>
      </c>
      <c r="J58" s="442">
        <f t="shared" si="16"/>
        <v>1.125</v>
      </c>
      <c r="K58" s="34">
        <f t="shared" si="17"/>
        <v>23.625</v>
      </c>
      <c r="M58" s="17"/>
      <c r="N58" s="17"/>
      <c r="O58" s="17"/>
      <c r="P58" s="17"/>
    </row>
    <row r="59" spans="1:16" s="20" customFormat="1" ht="14.4">
      <c r="A59" s="42">
        <v>0.5</v>
      </c>
      <c r="B59" s="26"/>
      <c r="C59" s="56">
        <f t="shared" si="0"/>
        <v>4</v>
      </c>
      <c r="D59" s="6" t="s">
        <v>657</v>
      </c>
      <c r="E59" s="7">
        <v>4</v>
      </c>
      <c r="F59" s="8">
        <v>4</v>
      </c>
      <c r="G59" s="7">
        <f t="shared" si="14"/>
        <v>1</v>
      </c>
      <c r="H59" s="7">
        <f t="shared" si="15"/>
        <v>4</v>
      </c>
      <c r="I59" s="7">
        <f t="shared" si="3"/>
        <v>0.05</v>
      </c>
      <c r="J59" s="442">
        <f t="shared" si="16"/>
        <v>0.2</v>
      </c>
      <c r="K59" s="34">
        <f t="shared" si="17"/>
        <v>4.2</v>
      </c>
      <c r="M59" s="17"/>
      <c r="N59" s="17"/>
      <c r="O59" s="17"/>
      <c r="P59" s="17"/>
    </row>
    <row r="60" spans="1:16" s="20" customFormat="1" ht="14.4">
      <c r="A60" s="42">
        <v>1</v>
      </c>
      <c r="B60" s="26"/>
      <c r="C60" s="56">
        <f t="shared" si="0"/>
        <v>9</v>
      </c>
      <c r="D60" s="6" t="s">
        <v>658</v>
      </c>
      <c r="E60" s="7">
        <v>185</v>
      </c>
      <c r="F60" s="8">
        <v>4</v>
      </c>
      <c r="G60" s="7">
        <f t="shared" si="14"/>
        <v>46.25</v>
      </c>
      <c r="H60" s="7">
        <f t="shared" si="15"/>
        <v>416.25</v>
      </c>
      <c r="I60" s="7">
        <f t="shared" si="3"/>
        <v>2.3125</v>
      </c>
      <c r="J60" s="442">
        <f t="shared" si="16"/>
        <v>20.8125</v>
      </c>
      <c r="K60" s="34">
        <f t="shared" si="17"/>
        <v>437.0625</v>
      </c>
      <c r="M60" s="17"/>
      <c r="N60" s="17"/>
      <c r="O60" s="17"/>
      <c r="P60" s="17"/>
    </row>
    <row r="61" spans="1:16" s="19" customFormat="1" ht="16.2" customHeight="1">
      <c r="A61" s="265"/>
      <c r="B61" s="25"/>
      <c r="C61" s="275"/>
      <c r="D61" s="265" t="s">
        <v>659</v>
      </c>
      <c r="E61" s="265"/>
      <c r="F61" s="265"/>
      <c r="G61" s="265"/>
      <c r="H61" s="265"/>
      <c r="I61" s="278"/>
      <c r="J61" s="278"/>
      <c r="K61" s="277"/>
      <c r="M61"/>
      <c r="N61"/>
      <c r="O61"/>
      <c r="P61"/>
    </row>
    <row r="62" spans="1:16" s="20" customFormat="1" ht="12.75" customHeight="1">
      <c r="A62" s="42">
        <v>0.5</v>
      </c>
      <c r="B62" s="26"/>
      <c r="C62" s="56">
        <f t="shared" si="0"/>
        <v>4</v>
      </c>
      <c r="D62" s="6" t="s">
        <v>660</v>
      </c>
      <c r="E62" s="7">
        <v>18</v>
      </c>
      <c r="F62" s="8">
        <v>4</v>
      </c>
      <c r="G62" s="7">
        <f t="shared" ref="G62:G89" si="18">E62/F62</f>
        <v>4.5</v>
      </c>
      <c r="H62" s="7">
        <f t="shared" ref="H62:H89" si="19">G62*C62</f>
        <v>18</v>
      </c>
      <c r="I62" s="7">
        <f t="shared" si="3"/>
        <v>0.22500000000000001</v>
      </c>
      <c r="J62" s="442">
        <f t="shared" ref="J62:J89" si="20">I62*C62</f>
        <v>0.9</v>
      </c>
      <c r="K62" s="34">
        <f t="shared" ref="K62:K89" si="21">C62*(G62+I62)</f>
        <v>18.899999999999999</v>
      </c>
      <c r="M62" s="17"/>
      <c r="N62" s="17"/>
      <c r="O62" s="17"/>
      <c r="P62" s="17"/>
    </row>
    <row r="63" spans="1:16" s="20" customFormat="1" ht="13.95" customHeight="1">
      <c r="A63" s="42">
        <v>0.5</v>
      </c>
      <c r="B63" s="26"/>
      <c r="C63" s="56">
        <f t="shared" si="0"/>
        <v>4</v>
      </c>
      <c r="D63" s="6" t="s">
        <v>661</v>
      </c>
      <c r="E63" s="7">
        <v>249</v>
      </c>
      <c r="F63" s="8">
        <v>4</v>
      </c>
      <c r="G63" s="7">
        <f t="shared" si="18"/>
        <v>62.25</v>
      </c>
      <c r="H63" s="7">
        <f t="shared" si="19"/>
        <v>249</v>
      </c>
      <c r="I63" s="7">
        <f t="shared" si="3"/>
        <v>3.1125000000000003</v>
      </c>
      <c r="J63" s="442">
        <f t="shared" si="20"/>
        <v>12.450000000000001</v>
      </c>
      <c r="K63" s="34">
        <f t="shared" si="21"/>
        <v>261.45</v>
      </c>
      <c r="M63" s="17"/>
      <c r="N63" s="17"/>
      <c r="O63" s="17"/>
      <c r="P63" s="17"/>
    </row>
    <row r="64" spans="1:16" s="20" customFormat="1" ht="14.4">
      <c r="A64" s="42">
        <v>4</v>
      </c>
      <c r="B64" s="26"/>
      <c r="C64" s="56">
        <f t="shared" si="0"/>
        <v>35</v>
      </c>
      <c r="D64" s="6" t="s">
        <v>662</v>
      </c>
      <c r="E64" s="7">
        <v>6</v>
      </c>
      <c r="F64" s="8">
        <v>4</v>
      </c>
      <c r="G64" s="7">
        <f t="shared" si="18"/>
        <v>1.5</v>
      </c>
      <c r="H64" s="7">
        <f t="shared" si="19"/>
        <v>52.5</v>
      </c>
      <c r="I64" s="7">
        <f t="shared" si="3"/>
        <v>7.5000000000000011E-2</v>
      </c>
      <c r="J64" s="442">
        <f t="shared" si="20"/>
        <v>2.6250000000000004</v>
      </c>
      <c r="K64" s="34">
        <f t="shared" si="21"/>
        <v>55.125</v>
      </c>
      <c r="M64" s="17"/>
      <c r="N64" s="17"/>
      <c r="O64" s="17"/>
      <c r="P64" s="17"/>
    </row>
    <row r="65" spans="1:16" s="20" customFormat="1" ht="14.4">
      <c r="A65" s="42">
        <v>2</v>
      </c>
      <c r="B65" s="26"/>
      <c r="C65" s="56">
        <f t="shared" si="0"/>
        <v>17</v>
      </c>
      <c r="D65" s="6" t="s">
        <v>663</v>
      </c>
      <c r="E65" s="7">
        <v>6</v>
      </c>
      <c r="F65" s="8">
        <v>4</v>
      </c>
      <c r="G65" s="7">
        <f t="shared" si="18"/>
        <v>1.5</v>
      </c>
      <c r="H65" s="7">
        <f t="shared" si="19"/>
        <v>25.5</v>
      </c>
      <c r="I65" s="7">
        <f t="shared" si="3"/>
        <v>7.5000000000000011E-2</v>
      </c>
      <c r="J65" s="442">
        <f t="shared" si="20"/>
        <v>1.2750000000000001</v>
      </c>
      <c r="K65" s="34">
        <f t="shared" si="21"/>
        <v>26.774999999999999</v>
      </c>
      <c r="M65" s="17"/>
      <c r="N65" s="17"/>
      <c r="O65" s="17"/>
      <c r="P65" s="17"/>
    </row>
    <row r="66" spans="1:16" s="20" customFormat="1" ht="12.6" customHeight="1">
      <c r="A66" s="42">
        <v>1</v>
      </c>
      <c r="B66" s="26"/>
      <c r="C66" s="56">
        <f t="shared" si="0"/>
        <v>9</v>
      </c>
      <c r="D66" s="6" t="s">
        <v>664</v>
      </c>
      <c r="E66" s="7">
        <v>8</v>
      </c>
      <c r="F66" s="8">
        <v>4</v>
      </c>
      <c r="G66" s="7">
        <f t="shared" si="18"/>
        <v>2</v>
      </c>
      <c r="H66" s="7">
        <f t="shared" si="19"/>
        <v>18</v>
      </c>
      <c r="I66" s="7">
        <f t="shared" si="3"/>
        <v>0.1</v>
      </c>
      <c r="J66" s="442">
        <f t="shared" si="20"/>
        <v>0.9</v>
      </c>
      <c r="K66" s="34">
        <f t="shared" si="21"/>
        <v>18.900000000000002</v>
      </c>
      <c r="M66" s="17"/>
      <c r="N66" s="17"/>
      <c r="O66" s="17"/>
      <c r="P66" s="17"/>
    </row>
    <row r="67" spans="1:16" s="20" customFormat="1" ht="14.4">
      <c r="A67" s="42">
        <v>3</v>
      </c>
      <c r="B67" s="26"/>
      <c r="C67" s="56">
        <f t="shared" si="0"/>
        <v>26</v>
      </c>
      <c r="D67" s="6" t="s">
        <v>665</v>
      </c>
      <c r="E67" s="7">
        <v>6</v>
      </c>
      <c r="F67" s="8">
        <v>4</v>
      </c>
      <c r="G67" s="7">
        <f t="shared" si="18"/>
        <v>1.5</v>
      </c>
      <c r="H67" s="7">
        <f t="shared" si="19"/>
        <v>39</v>
      </c>
      <c r="I67" s="7">
        <f t="shared" si="3"/>
        <v>7.5000000000000011E-2</v>
      </c>
      <c r="J67" s="442">
        <f t="shared" si="20"/>
        <v>1.9500000000000002</v>
      </c>
      <c r="K67" s="34">
        <f t="shared" si="21"/>
        <v>40.949999999999996</v>
      </c>
      <c r="M67" s="17"/>
      <c r="N67" s="17"/>
      <c r="O67" s="17"/>
      <c r="P67" s="17"/>
    </row>
    <row r="68" spans="1:16" s="20" customFormat="1" ht="14.4">
      <c r="A68" s="42">
        <v>2</v>
      </c>
      <c r="B68" s="26"/>
      <c r="C68" s="56">
        <f t="shared" si="0"/>
        <v>17</v>
      </c>
      <c r="D68" s="6" t="s">
        <v>666</v>
      </c>
      <c r="E68" s="7">
        <v>12</v>
      </c>
      <c r="F68" s="8">
        <v>4</v>
      </c>
      <c r="G68" s="7">
        <f t="shared" si="18"/>
        <v>3</v>
      </c>
      <c r="H68" s="7">
        <f t="shared" si="19"/>
        <v>51</v>
      </c>
      <c r="I68" s="7">
        <f t="shared" si="3"/>
        <v>0.15000000000000002</v>
      </c>
      <c r="J68" s="442">
        <f t="shared" si="20"/>
        <v>2.5500000000000003</v>
      </c>
      <c r="K68" s="34">
        <f t="shared" si="21"/>
        <v>53.55</v>
      </c>
      <c r="M68" s="17"/>
      <c r="N68" s="17"/>
      <c r="O68" s="17"/>
      <c r="P68" s="17"/>
    </row>
    <row r="69" spans="1:16" s="20" customFormat="1" ht="14.4">
      <c r="A69" s="42">
        <v>2</v>
      </c>
      <c r="B69" s="26"/>
      <c r="C69" s="56">
        <f t="shared" ref="C69:C89" si="22">ROUND(+O$4*A69/10,0)</f>
        <v>17</v>
      </c>
      <c r="D69" s="6" t="s">
        <v>667</v>
      </c>
      <c r="E69" s="7">
        <v>23</v>
      </c>
      <c r="F69" s="8">
        <v>4</v>
      </c>
      <c r="G69" s="7">
        <f t="shared" si="18"/>
        <v>5.75</v>
      </c>
      <c r="H69" s="7">
        <f t="shared" si="19"/>
        <v>97.75</v>
      </c>
      <c r="I69" s="7">
        <f t="shared" ref="I69:I89" si="23">G69*$I$3</f>
        <v>0.28750000000000003</v>
      </c>
      <c r="J69" s="442">
        <f t="shared" si="20"/>
        <v>4.8875000000000002</v>
      </c>
      <c r="K69" s="34">
        <f t="shared" si="21"/>
        <v>102.63749999999999</v>
      </c>
      <c r="M69" s="17"/>
      <c r="N69" s="17"/>
      <c r="O69" s="17"/>
      <c r="P69" s="17"/>
    </row>
    <row r="70" spans="1:16" s="20" customFormat="1" ht="14.4">
      <c r="A70" s="42">
        <v>0.5</v>
      </c>
      <c r="B70" s="26"/>
      <c r="C70" s="56">
        <f t="shared" si="22"/>
        <v>4</v>
      </c>
      <c r="D70" s="6" t="s">
        <v>668</v>
      </c>
      <c r="E70" s="7">
        <v>8</v>
      </c>
      <c r="F70" s="8">
        <v>4</v>
      </c>
      <c r="G70" s="7">
        <f t="shared" si="18"/>
        <v>2</v>
      </c>
      <c r="H70" s="7">
        <f t="shared" si="19"/>
        <v>8</v>
      </c>
      <c r="I70" s="7">
        <f t="shared" si="23"/>
        <v>0.1</v>
      </c>
      <c r="J70" s="442">
        <f t="shared" si="20"/>
        <v>0.4</v>
      </c>
      <c r="K70" s="34">
        <f t="shared" si="21"/>
        <v>8.4</v>
      </c>
      <c r="M70" s="17"/>
      <c r="N70" s="17"/>
      <c r="O70" s="17"/>
      <c r="P70" s="17"/>
    </row>
    <row r="71" spans="1:16" s="20" customFormat="1" ht="14.4">
      <c r="A71" s="42">
        <v>2</v>
      </c>
      <c r="B71" s="26"/>
      <c r="C71" s="56">
        <f t="shared" si="22"/>
        <v>17</v>
      </c>
      <c r="D71" s="6" t="s">
        <v>669</v>
      </c>
      <c r="E71" s="7">
        <v>12</v>
      </c>
      <c r="F71" s="8">
        <v>4</v>
      </c>
      <c r="G71" s="7">
        <f t="shared" si="18"/>
        <v>3</v>
      </c>
      <c r="H71" s="7">
        <f t="shared" si="19"/>
        <v>51</v>
      </c>
      <c r="I71" s="7">
        <f t="shared" si="23"/>
        <v>0.15000000000000002</v>
      </c>
      <c r="J71" s="442">
        <f t="shared" si="20"/>
        <v>2.5500000000000003</v>
      </c>
      <c r="K71" s="34">
        <f t="shared" si="21"/>
        <v>53.55</v>
      </c>
      <c r="M71" s="17"/>
      <c r="N71" s="17"/>
      <c r="O71" s="17"/>
      <c r="P71" s="17"/>
    </row>
    <row r="72" spans="1:16" s="20" customFormat="1" ht="14.4">
      <c r="A72" s="42">
        <v>1</v>
      </c>
      <c r="B72" s="26"/>
      <c r="C72" s="56">
        <f t="shared" si="22"/>
        <v>9</v>
      </c>
      <c r="D72" s="6" t="s">
        <v>670</v>
      </c>
      <c r="E72" s="7">
        <v>15</v>
      </c>
      <c r="F72" s="8">
        <v>4</v>
      </c>
      <c r="G72" s="7">
        <f t="shared" si="18"/>
        <v>3.75</v>
      </c>
      <c r="H72" s="7">
        <f t="shared" si="19"/>
        <v>33.75</v>
      </c>
      <c r="I72" s="7">
        <f t="shared" si="23"/>
        <v>0.1875</v>
      </c>
      <c r="J72" s="442">
        <f t="shared" si="20"/>
        <v>1.6875</v>
      </c>
      <c r="K72" s="34">
        <f t="shared" si="21"/>
        <v>35.4375</v>
      </c>
      <c r="M72" s="17"/>
      <c r="N72" s="17"/>
      <c r="O72" s="17"/>
      <c r="P72" s="17"/>
    </row>
    <row r="73" spans="1:16" s="20" customFormat="1" ht="14.4">
      <c r="A73" s="42">
        <v>1</v>
      </c>
      <c r="B73" s="26"/>
      <c r="C73" s="56">
        <f t="shared" si="22"/>
        <v>9</v>
      </c>
      <c r="D73" s="6" t="s">
        <v>671</v>
      </c>
      <c r="E73" s="7">
        <v>28</v>
      </c>
      <c r="F73" s="8">
        <v>4</v>
      </c>
      <c r="G73" s="7">
        <f t="shared" si="18"/>
        <v>7</v>
      </c>
      <c r="H73" s="7">
        <f t="shared" si="19"/>
        <v>63</v>
      </c>
      <c r="I73" s="7">
        <f t="shared" si="23"/>
        <v>0.35000000000000003</v>
      </c>
      <c r="J73" s="442">
        <f t="shared" si="20"/>
        <v>3.1500000000000004</v>
      </c>
      <c r="K73" s="34">
        <f t="shared" si="21"/>
        <v>66.149999999999991</v>
      </c>
      <c r="M73" s="17"/>
      <c r="N73" s="17"/>
      <c r="O73" s="17"/>
      <c r="P73" s="17"/>
    </row>
    <row r="74" spans="1:16" s="20" customFormat="1" ht="14.4">
      <c r="A74" s="42">
        <v>2</v>
      </c>
      <c r="B74" s="26"/>
      <c r="C74" s="56">
        <f t="shared" si="22"/>
        <v>17</v>
      </c>
      <c r="D74" s="6" t="s">
        <v>672</v>
      </c>
      <c r="E74" s="7">
        <v>17</v>
      </c>
      <c r="F74" s="8">
        <v>4</v>
      </c>
      <c r="G74" s="7">
        <f t="shared" si="18"/>
        <v>4.25</v>
      </c>
      <c r="H74" s="7">
        <f t="shared" si="19"/>
        <v>72.25</v>
      </c>
      <c r="I74" s="7">
        <f t="shared" si="23"/>
        <v>0.21250000000000002</v>
      </c>
      <c r="J74" s="442">
        <f t="shared" si="20"/>
        <v>3.6125000000000003</v>
      </c>
      <c r="K74" s="34">
        <f t="shared" si="21"/>
        <v>75.862500000000011</v>
      </c>
      <c r="M74" s="17"/>
      <c r="N74" s="17"/>
      <c r="O74" s="17"/>
      <c r="P74" s="17"/>
    </row>
    <row r="75" spans="1:16" s="20" customFormat="1" ht="14.4">
      <c r="A75" s="42">
        <v>1</v>
      </c>
      <c r="B75" s="26"/>
      <c r="C75" s="56">
        <f t="shared" si="22"/>
        <v>9</v>
      </c>
      <c r="D75" s="6" t="s">
        <v>673</v>
      </c>
      <c r="E75" s="7">
        <v>9</v>
      </c>
      <c r="F75" s="8">
        <v>4</v>
      </c>
      <c r="G75" s="7">
        <f t="shared" si="18"/>
        <v>2.25</v>
      </c>
      <c r="H75" s="7">
        <f t="shared" si="19"/>
        <v>20.25</v>
      </c>
      <c r="I75" s="7">
        <f t="shared" si="23"/>
        <v>0.1125</v>
      </c>
      <c r="J75" s="442">
        <f t="shared" si="20"/>
        <v>1.0125</v>
      </c>
      <c r="K75" s="34">
        <f t="shared" si="21"/>
        <v>21.262499999999999</v>
      </c>
      <c r="M75" s="17"/>
      <c r="N75" s="17"/>
      <c r="O75" s="17"/>
      <c r="P75" s="17"/>
    </row>
    <row r="76" spans="1:16" s="20" customFormat="1" ht="14.4">
      <c r="A76" s="42">
        <v>2</v>
      </c>
      <c r="B76" s="26"/>
      <c r="C76" s="56">
        <f t="shared" si="22"/>
        <v>17</v>
      </c>
      <c r="D76" s="6" t="s">
        <v>674</v>
      </c>
      <c r="E76" s="7">
        <v>1</v>
      </c>
      <c r="F76" s="8">
        <v>4</v>
      </c>
      <c r="G76" s="7">
        <f t="shared" si="18"/>
        <v>0.25</v>
      </c>
      <c r="H76" s="7">
        <f t="shared" si="19"/>
        <v>4.25</v>
      </c>
      <c r="I76" s="7">
        <f t="shared" si="23"/>
        <v>1.2500000000000001E-2</v>
      </c>
      <c r="J76" s="442">
        <f t="shared" si="20"/>
        <v>0.21250000000000002</v>
      </c>
      <c r="K76" s="34">
        <f t="shared" si="21"/>
        <v>4.4625000000000004</v>
      </c>
      <c r="M76" s="17"/>
      <c r="N76" s="17"/>
      <c r="O76" s="17"/>
      <c r="P76" s="17"/>
    </row>
    <row r="77" spans="1:16" s="20" customFormat="1" ht="14.4">
      <c r="A77" s="42">
        <v>2</v>
      </c>
      <c r="B77" s="26"/>
      <c r="C77" s="56">
        <f t="shared" si="22"/>
        <v>17</v>
      </c>
      <c r="D77" s="6" t="s">
        <v>675</v>
      </c>
      <c r="E77" s="7">
        <v>4</v>
      </c>
      <c r="F77" s="8">
        <v>4</v>
      </c>
      <c r="G77" s="7">
        <f t="shared" si="18"/>
        <v>1</v>
      </c>
      <c r="H77" s="7">
        <f t="shared" si="19"/>
        <v>17</v>
      </c>
      <c r="I77" s="7">
        <f t="shared" si="23"/>
        <v>0.05</v>
      </c>
      <c r="J77" s="442">
        <f t="shared" si="20"/>
        <v>0.85000000000000009</v>
      </c>
      <c r="K77" s="34">
        <f t="shared" si="21"/>
        <v>17.850000000000001</v>
      </c>
      <c r="M77" s="17"/>
      <c r="N77" s="17"/>
      <c r="O77" s="17"/>
      <c r="P77" s="17"/>
    </row>
    <row r="78" spans="1:16" s="20" customFormat="1" ht="14.4">
      <c r="A78" s="42">
        <v>1</v>
      </c>
      <c r="B78" s="26"/>
      <c r="C78" s="56">
        <f t="shared" si="22"/>
        <v>9</v>
      </c>
      <c r="D78" s="6" t="s">
        <v>676</v>
      </c>
      <c r="E78" s="7">
        <v>45</v>
      </c>
      <c r="F78" s="8">
        <v>4</v>
      </c>
      <c r="G78" s="7">
        <f t="shared" si="18"/>
        <v>11.25</v>
      </c>
      <c r="H78" s="7">
        <f t="shared" si="19"/>
        <v>101.25</v>
      </c>
      <c r="I78" s="7">
        <f t="shared" si="23"/>
        <v>0.5625</v>
      </c>
      <c r="J78" s="442">
        <f t="shared" si="20"/>
        <v>5.0625</v>
      </c>
      <c r="K78" s="34">
        <f t="shared" si="21"/>
        <v>106.3125</v>
      </c>
      <c r="M78" s="17"/>
      <c r="N78" s="17"/>
      <c r="O78" s="17"/>
      <c r="P78" s="17"/>
    </row>
    <row r="79" spans="1:16" s="20" customFormat="1" ht="14.4">
      <c r="A79" s="42">
        <v>1</v>
      </c>
      <c r="B79" s="26"/>
      <c r="C79" s="56">
        <f t="shared" si="22"/>
        <v>9</v>
      </c>
      <c r="D79" s="6" t="s">
        <v>677</v>
      </c>
      <c r="E79" s="7">
        <v>35</v>
      </c>
      <c r="F79" s="8">
        <v>4</v>
      </c>
      <c r="G79" s="7">
        <f t="shared" si="18"/>
        <v>8.75</v>
      </c>
      <c r="H79" s="7">
        <f t="shared" si="19"/>
        <v>78.75</v>
      </c>
      <c r="I79" s="7">
        <f t="shared" si="23"/>
        <v>0.4375</v>
      </c>
      <c r="J79" s="442">
        <f t="shared" si="20"/>
        <v>3.9375</v>
      </c>
      <c r="K79" s="34">
        <f t="shared" si="21"/>
        <v>82.6875</v>
      </c>
      <c r="M79" s="17"/>
      <c r="N79" s="17"/>
      <c r="O79" s="17"/>
      <c r="P79" s="17"/>
    </row>
    <row r="80" spans="1:16" s="20" customFormat="1" ht="14.4">
      <c r="A80" s="42">
        <v>1</v>
      </c>
      <c r="B80" s="26"/>
      <c r="C80" s="56">
        <f t="shared" si="22"/>
        <v>9</v>
      </c>
      <c r="D80" s="6" t="s">
        <v>678</v>
      </c>
      <c r="E80" s="7">
        <v>40</v>
      </c>
      <c r="F80" s="8">
        <v>4</v>
      </c>
      <c r="G80" s="7">
        <f t="shared" si="18"/>
        <v>10</v>
      </c>
      <c r="H80" s="7">
        <f t="shared" si="19"/>
        <v>90</v>
      </c>
      <c r="I80" s="7">
        <f t="shared" si="23"/>
        <v>0.5</v>
      </c>
      <c r="J80" s="442">
        <f t="shared" si="20"/>
        <v>4.5</v>
      </c>
      <c r="K80" s="34">
        <f t="shared" si="21"/>
        <v>94.5</v>
      </c>
      <c r="M80" s="17"/>
      <c r="N80" s="17"/>
      <c r="O80" s="17"/>
      <c r="P80" s="17"/>
    </row>
    <row r="81" spans="1:16" s="20" customFormat="1" ht="12" customHeight="1">
      <c r="A81" s="42">
        <v>1</v>
      </c>
      <c r="B81" s="26"/>
      <c r="C81" s="56">
        <f t="shared" si="22"/>
        <v>9</v>
      </c>
      <c r="D81" s="6" t="s">
        <v>679</v>
      </c>
      <c r="E81" s="7">
        <v>30</v>
      </c>
      <c r="F81" s="8">
        <v>4</v>
      </c>
      <c r="G81" s="7">
        <f t="shared" si="18"/>
        <v>7.5</v>
      </c>
      <c r="H81" s="7">
        <f t="shared" si="19"/>
        <v>67.5</v>
      </c>
      <c r="I81" s="7">
        <f t="shared" si="23"/>
        <v>0.375</v>
      </c>
      <c r="J81" s="442">
        <f t="shared" si="20"/>
        <v>3.375</v>
      </c>
      <c r="K81" s="34">
        <f t="shared" si="21"/>
        <v>70.875</v>
      </c>
      <c r="M81" s="17"/>
      <c r="N81" s="17"/>
      <c r="O81" s="17"/>
      <c r="P81" s="17"/>
    </row>
    <row r="82" spans="1:16" s="20" customFormat="1" ht="14.4">
      <c r="A82" s="42">
        <v>1</v>
      </c>
      <c r="B82" s="26"/>
      <c r="C82" s="56">
        <f t="shared" si="22"/>
        <v>9</v>
      </c>
      <c r="D82" s="6" t="s">
        <v>680</v>
      </c>
      <c r="E82" s="7">
        <v>5.7</v>
      </c>
      <c r="F82" s="8">
        <v>4</v>
      </c>
      <c r="G82" s="7">
        <f t="shared" si="18"/>
        <v>1.425</v>
      </c>
      <c r="H82" s="7">
        <f t="shared" si="19"/>
        <v>12.825000000000001</v>
      </c>
      <c r="I82" s="7">
        <f t="shared" si="23"/>
        <v>7.1250000000000008E-2</v>
      </c>
      <c r="J82" s="442">
        <f t="shared" si="20"/>
        <v>0.6412500000000001</v>
      </c>
      <c r="K82" s="34">
        <f t="shared" si="21"/>
        <v>13.46625</v>
      </c>
      <c r="M82" s="17"/>
      <c r="N82" s="17"/>
      <c r="O82" s="17"/>
      <c r="P82" s="17"/>
    </row>
    <row r="83" spans="1:16" s="20" customFormat="1" ht="14.4">
      <c r="A83" s="42">
        <v>1</v>
      </c>
      <c r="B83" s="26"/>
      <c r="C83" s="56">
        <f t="shared" si="22"/>
        <v>9</v>
      </c>
      <c r="D83" s="6" t="s">
        <v>681</v>
      </c>
      <c r="E83" s="7">
        <v>17.489999999999998</v>
      </c>
      <c r="F83" s="8">
        <v>4</v>
      </c>
      <c r="G83" s="7">
        <f t="shared" si="18"/>
        <v>4.3724999999999996</v>
      </c>
      <c r="H83" s="7">
        <f t="shared" si="19"/>
        <v>39.352499999999999</v>
      </c>
      <c r="I83" s="7">
        <f t="shared" si="23"/>
        <v>0.21862499999999999</v>
      </c>
      <c r="J83" s="442">
        <f t="shared" si="20"/>
        <v>1.967625</v>
      </c>
      <c r="K83" s="34">
        <f t="shared" si="21"/>
        <v>41.320124999999997</v>
      </c>
      <c r="M83" s="17"/>
      <c r="N83" s="17"/>
      <c r="O83" s="17"/>
      <c r="P83" s="17"/>
    </row>
    <row r="84" spans="1:16" s="20" customFormat="1" ht="14.4">
      <c r="A84" s="42">
        <v>1</v>
      </c>
      <c r="B84" s="26"/>
      <c r="C84" s="56">
        <f t="shared" si="22"/>
        <v>9</v>
      </c>
      <c r="D84" s="6" t="s">
        <v>682</v>
      </c>
      <c r="E84" s="7">
        <v>1.95</v>
      </c>
      <c r="F84" s="8">
        <v>4</v>
      </c>
      <c r="G84" s="7">
        <f t="shared" si="18"/>
        <v>0.48749999999999999</v>
      </c>
      <c r="H84" s="7">
        <f t="shared" si="19"/>
        <v>4.3875000000000002</v>
      </c>
      <c r="I84" s="7">
        <f t="shared" si="23"/>
        <v>2.4375000000000001E-2</v>
      </c>
      <c r="J84" s="442">
        <f t="shared" si="20"/>
        <v>0.21937500000000001</v>
      </c>
      <c r="K84" s="34">
        <f t="shared" si="21"/>
        <v>4.6068749999999996</v>
      </c>
      <c r="M84" s="17"/>
      <c r="N84" s="17"/>
      <c r="O84" s="17"/>
      <c r="P84" s="17"/>
    </row>
    <row r="85" spans="1:16" s="20" customFormat="1" ht="14.4">
      <c r="A85" s="42">
        <v>1</v>
      </c>
      <c r="B85" s="26"/>
      <c r="C85" s="56">
        <f t="shared" si="22"/>
        <v>9</v>
      </c>
      <c r="D85" s="6" t="s">
        <v>683</v>
      </c>
      <c r="E85" s="7">
        <v>10.220000000000001</v>
      </c>
      <c r="F85" s="8">
        <v>4</v>
      </c>
      <c r="G85" s="7">
        <f t="shared" si="18"/>
        <v>2.5550000000000002</v>
      </c>
      <c r="H85" s="7">
        <f t="shared" si="19"/>
        <v>22.995000000000001</v>
      </c>
      <c r="I85" s="7">
        <f t="shared" si="23"/>
        <v>0.12775</v>
      </c>
      <c r="J85" s="442">
        <f t="shared" si="20"/>
        <v>1.14975</v>
      </c>
      <c r="K85" s="34">
        <f t="shared" si="21"/>
        <v>24.144749999999998</v>
      </c>
      <c r="M85" s="17"/>
      <c r="N85" s="17"/>
      <c r="O85" s="17"/>
      <c r="P85" s="17"/>
    </row>
    <row r="86" spans="1:16" s="20" customFormat="1" ht="14.4">
      <c r="A86" s="42">
        <v>1</v>
      </c>
      <c r="B86" s="26"/>
      <c r="C86" s="56">
        <f t="shared" si="22"/>
        <v>9</v>
      </c>
      <c r="D86" s="6" t="s">
        <v>684</v>
      </c>
      <c r="E86" s="7">
        <v>18</v>
      </c>
      <c r="F86" s="8">
        <v>4</v>
      </c>
      <c r="G86" s="7">
        <f t="shared" si="18"/>
        <v>4.5</v>
      </c>
      <c r="H86" s="7">
        <f t="shared" si="19"/>
        <v>40.5</v>
      </c>
      <c r="I86" s="7">
        <f t="shared" si="23"/>
        <v>0.22500000000000001</v>
      </c>
      <c r="J86" s="442">
        <f t="shared" si="20"/>
        <v>2.0249999999999999</v>
      </c>
      <c r="K86" s="34">
        <f t="shared" si="21"/>
        <v>42.524999999999999</v>
      </c>
      <c r="M86" s="17"/>
      <c r="N86" s="17"/>
      <c r="O86" s="17"/>
      <c r="P86" s="17"/>
    </row>
    <row r="87" spans="1:16" s="20" customFormat="1" ht="14.4">
      <c r="A87" s="42">
        <v>1</v>
      </c>
      <c r="B87" s="26"/>
      <c r="C87" s="56">
        <f t="shared" si="22"/>
        <v>9</v>
      </c>
      <c r="D87" s="6" t="s">
        <v>685</v>
      </c>
      <c r="E87" s="7">
        <v>95</v>
      </c>
      <c r="F87" s="8">
        <v>4</v>
      </c>
      <c r="G87" s="7">
        <f t="shared" si="18"/>
        <v>23.75</v>
      </c>
      <c r="H87" s="7">
        <f t="shared" si="19"/>
        <v>213.75</v>
      </c>
      <c r="I87" s="7">
        <f t="shared" si="23"/>
        <v>1.1875</v>
      </c>
      <c r="J87" s="442">
        <f t="shared" si="20"/>
        <v>10.6875</v>
      </c>
      <c r="K87" s="34">
        <f t="shared" si="21"/>
        <v>224.4375</v>
      </c>
      <c r="M87" s="17"/>
      <c r="N87" s="17"/>
      <c r="O87" s="17"/>
      <c r="P87" s="17"/>
    </row>
    <row r="88" spans="1:16" s="20" customFormat="1" ht="14.4">
      <c r="A88" s="42">
        <v>2</v>
      </c>
      <c r="B88" s="26"/>
      <c r="C88" s="56">
        <f t="shared" si="22"/>
        <v>17</v>
      </c>
      <c r="D88" s="6" t="s">
        <v>686</v>
      </c>
      <c r="E88" s="7">
        <v>8.7100000000000009</v>
      </c>
      <c r="F88" s="8">
        <v>4</v>
      </c>
      <c r="G88" s="7">
        <f t="shared" si="18"/>
        <v>2.1775000000000002</v>
      </c>
      <c r="H88" s="7">
        <f t="shared" si="19"/>
        <v>37.017500000000005</v>
      </c>
      <c r="I88" s="7">
        <f t="shared" si="23"/>
        <v>0.10887500000000001</v>
      </c>
      <c r="J88" s="442">
        <f t="shared" si="20"/>
        <v>1.8508750000000003</v>
      </c>
      <c r="K88" s="34">
        <f t="shared" si="21"/>
        <v>38.868375</v>
      </c>
      <c r="M88" s="17"/>
      <c r="N88" s="17"/>
      <c r="O88" s="17"/>
      <c r="P88" s="17"/>
    </row>
    <row r="89" spans="1:16" s="20" customFormat="1" ht="14.4">
      <c r="A89" s="42">
        <v>1</v>
      </c>
      <c r="B89" s="26"/>
      <c r="C89" s="56">
        <f t="shared" si="22"/>
        <v>9</v>
      </c>
      <c r="D89" s="6" t="s">
        <v>687</v>
      </c>
      <c r="E89" s="7">
        <v>9</v>
      </c>
      <c r="F89" s="8">
        <v>4</v>
      </c>
      <c r="G89" s="7">
        <f t="shared" si="18"/>
        <v>2.25</v>
      </c>
      <c r="H89" s="7">
        <f t="shared" si="19"/>
        <v>20.25</v>
      </c>
      <c r="I89" s="7">
        <f t="shared" si="23"/>
        <v>0.1125</v>
      </c>
      <c r="J89" s="442">
        <f t="shared" si="20"/>
        <v>1.0125</v>
      </c>
      <c r="K89" s="34">
        <f t="shared" si="21"/>
        <v>21.262499999999999</v>
      </c>
      <c r="M89" s="17"/>
      <c r="N89" s="17"/>
      <c r="O89" s="17"/>
      <c r="P89" s="17"/>
    </row>
    <row r="90" spans="1:16" s="19" customFormat="1" ht="15" customHeight="1">
      <c r="B90" s="25"/>
      <c r="C90" s="477"/>
      <c r="D90" s="478"/>
      <c r="E90" s="478"/>
      <c r="F90" s="479"/>
      <c r="G90" s="480" t="s">
        <v>47</v>
      </c>
      <c r="H90" s="484">
        <f>SUM(H4:H89)</f>
        <v>13807.327500000003</v>
      </c>
      <c r="I90" s="480"/>
      <c r="J90" s="484">
        <f>SUM(J4:J89)</f>
        <v>690.36637500000018</v>
      </c>
      <c r="K90" s="483">
        <f>SUM(K4:K89)</f>
        <v>14497.693875000001</v>
      </c>
      <c r="M90"/>
      <c r="N90"/>
      <c r="O90"/>
      <c r="P90"/>
    </row>
  </sheetData>
  <mergeCells count="4">
    <mergeCell ref="C1:K1"/>
    <mergeCell ref="M4:N4"/>
    <mergeCell ref="M5:N5"/>
    <mergeCell ref="M6:N6"/>
  </mergeCells>
  <pageMargins left="0.70866141732283505" right="0.70866141732283505" top="0.74803149606299202" bottom="0.74803149606299202" header="0.31496062992126" footer="0.31496062992126"/>
  <pageSetup paperSize="9" scale="85" orientation="portrait" r:id="rId1"/>
  <rowBreaks count="1" manualBreakCount="1">
    <brk id="49" max="8" man="1"/>
  </rowBreaks>
  <colBreaks count="1" manualBreakCount="1">
    <brk id="11"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499984740745262"/>
    <pageSetUpPr fitToPage="1"/>
  </sheetPr>
  <dimension ref="A1:Q509"/>
  <sheetViews>
    <sheetView showGridLines="0" workbookViewId="0">
      <selection activeCell="B1" sqref="B1:Q1"/>
    </sheetView>
  </sheetViews>
  <sheetFormatPr baseColWidth="10" defaultColWidth="11.44140625" defaultRowHeight="14.4"/>
  <cols>
    <col min="1" max="1" width="3.109375" style="46" customWidth="1"/>
    <col min="2" max="2" width="4.88671875" style="47" customWidth="1"/>
    <col min="3" max="3" width="41.33203125" style="48" customWidth="1"/>
    <col min="4" max="6" width="5.6640625" style="48" customWidth="1"/>
    <col min="7" max="7" width="7.33203125" style="48" customWidth="1"/>
    <col min="8" max="17" width="5.6640625" style="48" customWidth="1"/>
    <col min="18" max="20" width="3.33203125" style="48" customWidth="1"/>
    <col min="21" max="16384" width="11.44140625" style="48"/>
  </cols>
  <sheetData>
    <row r="1" spans="2:17" ht="15" customHeight="1">
      <c r="B1" s="563" t="s">
        <v>688</v>
      </c>
      <c r="C1" s="563"/>
      <c r="D1" s="563"/>
      <c r="E1" s="563"/>
      <c r="F1" s="563"/>
      <c r="G1" s="563"/>
      <c r="H1" s="563"/>
      <c r="I1" s="563"/>
      <c r="J1" s="563"/>
      <c r="K1" s="563"/>
      <c r="L1" s="563"/>
      <c r="M1" s="563"/>
      <c r="N1" s="563"/>
      <c r="O1" s="563"/>
      <c r="P1" s="563"/>
      <c r="Q1" s="563"/>
    </row>
    <row r="2" spans="2:17" ht="3.75" customHeight="1">
      <c r="B2" s="49"/>
      <c r="C2" s="50"/>
      <c r="D2" s="50"/>
      <c r="E2" s="50"/>
      <c r="F2" s="50"/>
      <c r="G2" s="50"/>
      <c r="H2" s="50"/>
      <c r="I2" s="50"/>
      <c r="J2" s="50"/>
      <c r="K2" s="50"/>
      <c r="L2" s="50"/>
      <c r="M2" s="50"/>
      <c r="N2" s="50"/>
      <c r="O2" s="50"/>
      <c r="P2" s="50"/>
      <c r="Q2" s="50"/>
    </row>
    <row r="3" spans="2:17" ht="22.5" customHeight="1">
      <c r="B3" s="744" t="s">
        <v>95</v>
      </c>
      <c r="C3" s="745"/>
      <c r="D3" s="244"/>
      <c r="E3" s="245"/>
      <c r="F3" s="245"/>
      <c r="G3" s="246"/>
      <c r="H3" s="244"/>
      <c r="I3" s="245"/>
      <c r="J3" s="245"/>
      <c r="K3" s="703"/>
      <c r="L3" s="703"/>
      <c r="M3" s="703"/>
      <c r="N3" s="703" t="s">
        <v>539</v>
      </c>
      <c r="O3" s="703"/>
      <c r="P3" s="703"/>
      <c r="Q3" s="704"/>
    </row>
    <row r="4" spans="2:17" ht="15" customHeight="1">
      <c r="B4" s="52" t="s">
        <v>689</v>
      </c>
      <c r="C4" s="734" t="s">
        <v>690</v>
      </c>
      <c r="D4" s="734"/>
      <c r="E4" s="734"/>
      <c r="F4" s="734"/>
      <c r="G4" s="734"/>
      <c r="H4" s="734"/>
      <c r="I4" s="734"/>
      <c r="J4" s="734"/>
      <c r="K4" s="734"/>
      <c r="L4" s="734"/>
      <c r="M4" s="734"/>
      <c r="N4" s="746">
        <f>D.1_2_Locales_Inst!G11</f>
        <v>89879.999999999985</v>
      </c>
      <c r="O4" s="746"/>
      <c r="P4" s="746"/>
      <c r="Q4" s="746"/>
    </row>
    <row r="5" spans="2:17" ht="15" customHeight="1">
      <c r="B5" s="52" t="s">
        <v>691</v>
      </c>
      <c r="C5" s="734" t="s">
        <v>692</v>
      </c>
      <c r="D5" s="734"/>
      <c r="E5" s="734"/>
      <c r="F5" s="734"/>
      <c r="G5" s="734"/>
      <c r="H5" s="734"/>
      <c r="I5" s="734"/>
      <c r="J5" s="734"/>
      <c r="K5" s="734"/>
      <c r="L5" s="734"/>
      <c r="M5" s="734"/>
      <c r="N5" s="746">
        <f>D.1_2_Locales_Inst!$G$25</f>
        <v>63000</v>
      </c>
      <c r="O5" s="746"/>
      <c r="P5" s="746"/>
      <c r="Q5" s="746"/>
    </row>
    <row r="6" spans="2:17" ht="15" customHeight="1">
      <c r="B6" s="476" t="s">
        <v>693</v>
      </c>
      <c r="C6" s="476"/>
      <c r="D6" s="462"/>
      <c r="E6" s="463"/>
      <c r="F6" s="463"/>
      <c r="G6" s="463"/>
      <c r="H6" s="464"/>
      <c r="I6" s="464"/>
      <c r="J6" s="464"/>
      <c r="K6" s="464"/>
      <c r="L6" s="464"/>
      <c r="M6" s="464"/>
      <c r="N6" s="764">
        <f>N5+N4</f>
        <v>152880</v>
      </c>
      <c r="O6" s="764"/>
      <c r="P6" s="764"/>
      <c r="Q6" s="764"/>
    </row>
    <row r="7" spans="2:17" s="46" customFormat="1" ht="15" customHeight="1">
      <c r="B7" s="47"/>
      <c r="C7" s="48"/>
      <c r="D7" s="48"/>
      <c r="E7" s="48"/>
      <c r="F7" s="48"/>
      <c r="G7" s="48"/>
      <c r="H7" s="48"/>
      <c r="I7" s="48"/>
      <c r="J7" s="48"/>
      <c r="K7" s="48"/>
      <c r="L7" s="48"/>
      <c r="M7" s="48"/>
      <c r="N7" s="48"/>
      <c r="O7" s="48"/>
      <c r="P7" s="48"/>
      <c r="Q7" s="48"/>
    </row>
    <row r="8" spans="2:17" s="46" customFormat="1" ht="15" customHeight="1">
      <c r="B8" s="47"/>
      <c r="C8" s="48"/>
      <c r="D8" s="48"/>
      <c r="E8" s="48"/>
      <c r="F8" s="48"/>
      <c r="G8" s="48"/>
      <c r="H8" s="48"/>
      <c r="I8" s="48"/>
      <c r="J8" s="48"/>
      <c r="K8" s="48"/>
      <c r="L8" s="48"/>
      <c r="M8" s="48"/>
      <c r="N8" s="48"/>
      <c r="O8" s="48"/>
      <c r="P8" s="48"/>
      <c r="Q8" s="48"/>
    </row>
    <row r="9" spans="2:17" s="46" customFormat="1" ht="15" customHeight="1">
      <c r="B9" s="47"/>
      <c r="C9" s="48"/>
      <c r="D9" s="48"/>
      <c r="E9" s="48"/>
      <c r="F9" s="48"/>
      <c r="G9" s="48"/>
      <c r="H9" s="48"/>
      <c r="I9" s="48"/>
      <c r="J9" s="48"/>
      <c r="K9" s="48"/>
      <c r="L9" s="48"/>
      <c r="M9" s="48"/>
      <c r="N9" s="48"/>
      <c r="O9" s="48"/>
      <c r="P9" s="48"/>
      <c r="Q9" s="48"/>
    </row>
    <row r="10" spans="2:17" s="46" customFormat="1" ht="15" customHeight="1">
      <c r="B10" s="47"/>
      <c r="C10" s="70" t="s">
        <v>255</v>
      </c>
      <c r="D10" s="71">
        <v>0.05</v>
      </c>
      <c r="E10" s="48"/>
      <c r="F10" s="48"/>
      <c r="G10" s="48"/>
      <c r="H10" s="48"/>
      <c r="I10" s="48"/>
      <c r="J10" s="48"/>
      <c r="K10" s="48"/>
      <c r="L10" s="48"/>
      <c r="M10" s="48"/>
      <c r="N10" s="48"/>
      <c r="O10" s="48"/>
      <c r="P10" s="48"/>
      <c r="Q10" s="48"/>
    </row>
    <row r="11" spans="2:17" s="46" customFormat="1" ht="15" customHeight="1">
      <c r="B11" s="47"/>
      <c r="C11" s="48"/>
      <c r="D11" s="48"/>
      <c r="E11" s="48"/>
      <c r="F11" s="48"/>
      <c r="G11" s="48"/>
      <c r="H11" s="48"/>
      <c r="I11" s="48"/>
      <c r="J11" s="48"/>
      <c r="K11" s="48"/>
      <c r="L11" s="48"/>
      <c r="M11" s="48"/>
      <c r="N11" s="48"/>
      <c r="O11" s="48"/>
      <c r="P11" s="48"/>
      <c r="Q11" s="48"/>
    </row>
    <row r="12" spans="2:17" s="46" customFormat="1" ht="15" customHeight="1">
      <c r="B12" s="47"/>
      <c r="C12" s="48"/>
      <c r="D12" s="48"/>
      <c r="E12" s="48"/>
      <c r="F12" s="48"/>
      <c r="G12" s="48"/>
      <c r="H12" s="48"/>
      <c r="I12" s="48"/>
      <c r="J12" s="48"/>
      <c r="K12" s="48"/>
      <c r="L12" s="48"/>
      <c r="M12" s="48"/>
      <c r="N12" s="48"/>
      <c r="O12" s="48"/>
      <c r="P12" s="48"/>
      <c r="Q12" s="48"/>
    </row>
    <row r="13" spans="2:17" s="46" customFormat="1" ht="15" customHeight="1">
      <c r="B13" s="47"/>
      <c r="C13" s="48"/>
      <c r="D13" s="48"/>
      <c r="E13" s="48"/>
      <c r="F13" s="48"/>
      <c r="G13" s="48"/>
      <c r="H13" s="48"/>
      <c r="I13" s="48"/>
      <c r="J13" s="48"/>
      <c r="K13" s="48"/>
      <c r="L13" s="48"/>
      <c r="M13" s="48"/>
      <c r="N13" s="48"/>
      <c r="O13" s="48"/>
      <c r="P13" s="48"/>
      <c r="Q13" s="48"/>
    </row>
    <row r="14" spans="2:17" s="46" customFormat="1" ht="15" customHeight="1">
      <c r="B14" s="47"/>
      <c r="C14" s="48"/>
      <c r="D14" s="48"/>
      <c r="E14" s="48"/>
      <c r="F14" s="48"/>
      <c r="G14" s="48"/>
      <c r="H14" s="48"/>
      <c r="I14" s="48"/>
      <c r="J14" s="48"/>
      <c r="K14" s="48"/>
      <c r="L14" s="48"/>
      <c r="M14" s="48"/>
      <c r="N14" s="48"/>
      <c r="O14" s="48"/>
      <c r="P14" s="48"/>
      <c r="Q14" s="48"/>
    </row>
    <row r="15" spans="2:17" s="46" customFormat="1" ht="15" customHeight="1">
      <c r="B15" s="47"/>
      <c r="C15" s="48"/>
      <c r="D15" s="48"/>
      <c r="E15" s="48"/>
      <c r="F15" s="48"/>
      <c r="G15" s="48"/>
      <c r="H15" s="48"/>
      <c r="I15" s="48"/>
      <c r="J15" s="48"/>
      <c r="K15" s="48"/>
      <c r="L15" s="48"/>
      <c r="M15" s="48"/>
      <c r="N15" s="48"/>
      <c r="O15" s="48"/>
      <c r="P15" s="48"/>
      <c r="Q15" s="48"/>
    </row>
    <row r="16" spans="2:17" s="46" customFormat="1" ht="15" customHeight="1">
      <c r="B16" s="47"/>
      <c r="C16" s="48"/>
      <c r="D16" s="48"/>
      <c r="E16" s="48"/>
      <c r="F16" s="48"/>
      <c r="G16" s="48"/>
      <c r="H16" s="48"/>
      <c r="I16" s="48"/>
      <c r="J16" s="48"/>
      <c r="K16" s="48"/>
      <c r="L16" s="48"/>
      <c r="M16" s="48"/>
      <c r="N16" s="48"/>
      <c r="O16" s="48"/>
      <c r="P16" s="48"/>
      <c r="Q16" s="48"/>
    </row>
    <row r="17" spans="2:17" s="46" customFormat="1" ht="15" customHeight="1">
      <c r="B17" s="47"/>
      <c r="C17" s="48"/>
      <c r="D17" s="48"/>
      <c r="E17" s="48"/>
      <c r="F17" s="48"/>
      <c r="G17" s="48"/>
      <c r="H17" s="48"/>
      <c r="I17" s="48"/>
      <c r="J17" s="48"/>
      <c r="K17" s="48"/>
      <c r="L17" s="48"/>
      <c r="M17" s="48"/>
      <c r="N17" s="48"/>
      <c r="O17" s="48"/>
      <c r="P17" s="48"/>
      <c r="Q17" s="48"/>
    </row>
    <row r="18" spans="2:17" s="46" customFormat="1" ht="15" customHeight="1">
      <c r="B18" s="47"/>
      <c r="C18" s="48"/>
      <c r="D18" s="48"/>
      <c r="E18" s="48"/>
      <c r="F18" s="48"/>
      <c r="G18" s="48"/>
      <c r="H18" s="48"/>
      <c r="I18" s="48"/>
      <c r="J18" s="48"/>
      <c r="K18" s="48"/>
      <c r="L18" s="48"/>
      <c r="M18" s="48"/>
      <c r="N18" s="48"/>
      <c r="O18" s="48"/>
      <c r="P18" s="48"/>
      <c r="Q18" s="48"/>
    </row>
    <row r="19" spans="2:17" s="46" customFormat="1" ht="15" customHeight="1">
      <c r="B19" s="47"/>
      <c r="C19" s="48"/>
      <c r="D19" s="48"/>
      <c r="E19" s="48"/>
      <c r="F19" s="48"/>
      <c r="G19" s="48"/>
      <c r="H19" s="48"/>
      <c r="I19" s="48"/>
      <c r="J19" s="48"/>
      <c r="K19" s="48"/>
      <c r="L19" s="48"/>
      <c r="M19" s="48"/>
      <c r="N19" s="48"/>
      <c r="O19" s="48"/>
      <c r="P19" s="48"/>
      <c r="Q19" s="48"/>
    </row>
    <row r="20" spans="2:17" s="46" customFormat="1" ht="15" customHeight="1">
      <c r="B20" s="47"/>
      <c r="C20" s="48"/>
      <c r="D20" s="48"/>
      <c r="E20" s="48"/>
      <c r="F20" s="48"/>
      <c r="G20" s="48"/>
      <c r="H20" s="48"/>
      <c r="I20" s="48"/>
      <c r="J20" s="48"/>
      <c r="K20" s="48"/>
      <c r="L20" s="48"/>
      <c r="M20" s="48"/>
      <c r="N20" s="48"/>
      <c r="O20" s="48"/>
      <c r="P20" s="48"/>
      <c r="Q20" s="48"/>
    </row>
    <row r="21" spans="2:17" s="46" customFormat="1" ht="15" customHeight="1">
      <c r="B21" s="47"/>
      <c r="C21" s="48"/>
      <c r="D21" s="48"/>
      <c r="E21" s="48"/>
      <c r="F21" s="48"/>
      <c r="G21" s="48"/>
      <c r="H21" s="48"/>
      <c r="I21" s="48"/>
      <c r="J21" s="48"/>
      <c r="K21" s="48"/>
      <c r="L21" s="48"/>
      <c r="M21" s="48"/>
      <c r="N21" s="48"/>
      <c r="O21" s="48"/>
      <c r="P21" s="48"/>
      <c r="Q21" s="48"/>
    </row>
    <row r="22" spans="2:17" s="46" customFormat="1" ht="15" customHeight="1">
      <c r="B22" s="47"/>
      <c r="C22" s="48"/>
      <c r="D22" s="48"/>
      <c r="E22" s="48"/>
      <c r="F22" s="48"/>
      <c r="G22" s="48"/>
      <c r="H22" s="48"/>
      <c r="I22" s="48"/>
      <c r="J22" s="48"/>
      <c r="K22" s="48"/>
      <c r="L22" s="48"/>
      <c r="M22" s="48"/>
      <c r="N22" s="48"/>
      <c r="O22" s="48"/>
      <c r="P22" s="48"/>
      <c r="Q22" s="48"/>
    </row>
    <row r="23" spans="2:17" s="46" customFormat="1" ht="15" customHeight="1">
      <c r="B23" s="47"/>
      <c r="C23" s="48"/>
      <c r="D23" s="48"/>
      <c r="E23" s="48"/>
      <c r="F23" s="48"/>
      <c r="G23" s="48"/>
      <c r="H23" s="48"/>
      <c r="I23" s="48"/>
      <c r="J23" s="48"/>
      <c r="K23" s="48"/>
      <c r="L23" s="48"/>
      <c r="M23" s="48"/>
      <c r="N23" s="48"/>
      <c r="O23" s="48"/>
      <c r="P23" s="48"/>
      <c r="Q23" s="48"/>
    </row>
    <row r="24" spans="2:17" s="46" customFormat="1" ht="15" customHeight="1">
      <c r="B24" s="47"/>
      <c r="C24" s="48"/>
      <c r="D24" s="48"/>
      <c r="E24" s="48"/>
      <c r="F24" s="48"/>
      <c r="G24" s="48"/>
      <c r="H24" s="48"/>
      <c r="I24" s="48"/>
      <c r="J24" s="48"/>
      <c r="K24" s="48"/>
      <c r="L24" s="48"/>
      <c r="M24" s="48"/>
      <c r="N24" s="48"/>
      <c r="O24" s="48"/>
      <c r="P24" s="48"/>
      <c r="Q24" s="48"/>
    </row>
    <row r="25" spans="2:17" s="46" customFormat="1" ht="15" customHeight="1">
      <c r="B25" s="47"/>
      <c r="C25" s="48"/>
      <c r="D25" s="48"/>
      <c r="E25" s="48"/>
      <c r="F25" s="48"/>
      <c r="G25" s="48"/>
      <c r="H25" s="48"/>
      <c r="I25" s="48"/>
      <c r="J25" s="48"/>
      <c r="K25" s="48"/>
      <c r="L25" s="48"/>
      <c r="M25" s="48"/>
      <c r="N25" s="48"/>
      <c r="O25" s="48"/>
      <c r="P25" s="48"/>
      <c r="Q25" s="48"/>
    </row>
    <row r="26" spans="2:17" s="46" customFormat="1" ht="15" customHeight="1">
      <c r="B26" s="47"/>
      <c r="C26" s="48"/>
      <c r="D26" s="48"/>
      <c r="E26" s="48"/>
      <c r="F26" s="48"/>
      <c r="G26" s="48"/>
      <c r="H26" s="48"/>
      <c r="I26" s="48"/>
      <c r="J26" s="48"/>
      <c r="K26" s="48"/>
      <c r="L26" s="48"/>
      <c r="M26" s="48"/>
      <c r="N26" s="48"/>
      <c r="O26" s="48"/>
      <c r="P26" s="48"/>
      <c r="Q26" s="48"/>
    </row>
    <row r="27" spans="2:17" s="46" customFormat="1" ht="15" customHeight="1">
      <c r="B27" s="47"/>
      <c r="C27" s="48"/>
      <c r="D27" s="48"/>
      <c r="E27" s="48"/>
      <c r="F27" s="48"/>
      <c r="G27" s="48"/>
      <c r="H27" s="48"/>
      <c r="I27" s="48"/>
      <c r="J27" s="48"/>
      <c r="K27" s="48"/>
      <c r="L27" s="48"/>
      <c r="M27" s="48"/>
      <c r="N27" s="48"/>
      <c r="O27" s="48"/>
      <c r="P27" s="48"/>
      <c r="Q27" s="48"/>
    </row>
    <row r="28" spans="2:17" s="46" customFormat="1" ht="15" customHeight="1">
      <c r="B28" s="47"/>
      <c r="C28" s="48"/>
      <c r="D28" s="48"/>
      <c r="E28" s="48"/>
      <c r="F28" s="48"/>
      <c r="G28" s="48"/>
      <c r="H28" s="48"/>
      <c r="I28" s="48"/>
      <c r="J28" s="48"/>
      <c r="K28" s="48"/>
      <c r="L28" s="48"/>
      <c r="M28" s="48"/>
      <c r="N28" s="48"/>
      <c r="O28" s="48"/>
      <c r="P28" s="48"/>
      <c r="Q28" s="48"/>
    </row>
    <row r="29" spans="2:17" s="46" customFormat="1" ht="15" customHeight="1">
      <c r="B29" s="47"/>
      <c r="C29" s="48"/>
      <c r="D29" s="48"/>
      <c r="E29" s="48"/>
      <c r="F29" s="48"/>
      <c r="G29" s="48"/>
      <c r="H29" s="48"/>
      <c r="I29" s="48"/>
      <c r="J29" s="48"/>
      <c r="K29" s="48"/>
      <c r="L29" s="48"/>
      <c r="M29" s="48"/>
      <c r="N29" s="48"/>
      <c r="O29" s="48"/>
      <c r="P29" s="48"/>
      <c r="Q29" s="48"/>
    </row>
    <row r="30" spans="2:17" s="46" customFormat="1" ht="15" customHeight="1">
      <c r="B30" s="47"/>
      <c r="C30" s="48"/>
      <c r="D30" s="48"/>
      <c r="E30" s="48"/>
      <c r="F30" s="48"/>
      <c r="G30" s="48"/>
      <c r="H30" s="48"/>
      <c r="I30" s="48"/>
      <c r="J30" s="48"/>
      <c r="K30" s="48"/>
      <c r="L30" s="48"/>
      <c r="M30" s="48"/>
      <c r="N30" s="48"/>
      <c r="O30" s="48"/>
      <c r="P30" s="48"/>
      <c r="Q30" s="48"/>
    </row>
    <row r="31" spans="2:17" s="46" customFormat="1" ht="15" customHeight="1">
      <c r="B31" s="47"/>
      <c r="C31" s="48"/>
      <c r="D31" s="48"/>
      <c r="E31" s="48"/>
      <c r="F31" s="48"/>
      <c r="G31" s="48"/>
      <c r="H31" s="48"/>
      <c r="I31" s="48"/>
      <c r="J31" s="48"/>
      <c r="K31" s="48"/>
      <c r="L31" s="48"/>
      <c r="M31" s="48"/>
      <c r="N31" s="48"/>
      <c r="O31" s="48"/>
      <c r="P31" s="48"/>
      <c r="Q31" s="48"/>
    </row>
    <row r="32" spans="2:17" s="46" customFormat="1" ht="15" customHeight="1">
      <c r="B32" s="47"/>
      <c r="C32" s="48"/>
      <c r="D32" s="48"/>
      <c r="E32" s="48"/>
      <c r="F32" s="48"/>
      <c r="G32" s="48"/>
      <c r="H32" s="48"/>
      <c r="I32" s="48"/>
      <c r="J32" s="48"/>
      <c r="K32" s="48"/>
      <c r="L32" s="48"/>
      <c r="M32" s="48"/>
      <c r="N32" s="48"/>
      <c r="O32" s="48"/>
      <c r="P32" s="48"/>
      <c r="Q32" s="48"/>
    </row>
    <row r="33" spans="2:17" s="46" customFormat="1" ht="15" customHeight="1">
      <c r="B33" s="47"/>
      <c r="C33" s="48"/>
      <c r="D33" s="48"/>
      <c r="E33" s="48"/>
      <c r="F33" s="48"/>
      <c r="G33" s="48"/>
      <c r="H33" s="48"/>
      <c r="I33" s="48"/>
      <c r="J33" s="48"/>
      <c r="K33" s="48"/>
      <c r="L33" s="48"/>
      <c r="M33" s="48"/>
      <c r="N33" s="48"/>
      <c r="O33" s="48"/>
      <c r="P33" s="48"/>
      <c r="Q33" s="48"/>
    </row>
    <row r="34" spans="2:17" s="46" customFormat="1" ht="15" customHeight="1">
      <c r="B34" s="47"/>
      <c r="C34" s="48"/>
      <c r="D34" s="48"/>
      <c r="E34" s="48"/>
      <c r="F34" s="48"/>
      <c r="G34" s="48"/>
      <c r="H34" s="48"/>
      <c r="I34" s="48"/>
      <c r="J34" s="48"/>
      <c r="K34" s="48"/>
      <c r="L34" s="48"/>
      <c r="M34" s="48"/>
      <c r="N34" s="48"/>
      <c r="O34" s="48"/>
      <c r="P34" s="48"/>
      <c r="Q34" s="48"/>
    </row>
    <row r="35" spans="2:17" s="46" customFormat="1" ht="15" customHeight="1">
      <c r="B35" s="47"/>
      <c r="C35" s="48"/>
      <c r="D35" s="48"/>
      <c r="E35" s="48"/>
      <c r="F35" s="48"/>
      <c r="G35" s="48"/>
      <c r="H35" s="48"/>
      <c r="I35" s="48"/>
      <c r="J35" s="48"/>
      <c r="K35" s="48"/>
      <c r="L35" s="48"/>
      <c r="M35" s="48"/>
      <c r="N35" s="48"/>
      <c r="O35" s="48"/>
      <c r="P35" s="48"/>
      <c r="Q35" s="48"/>
    </row>
    <row r="36" spans="2:17" s="46" customFormat="1" ht="15" customHeight="1">
      <c r="B36" s="47"/>
      <c r="C36" s="48"/>
      <c r="D36" s="48"/>
      <c r="E36" s="48"/>
      <c r="F36" s="48"/>
      <c r="G36" s="48"/>
      <c r="H36" s="48"/>
      <c r="I36" s="48"/>
      <c r="J36" s="48"/>
      <c r="K36" s="48"/>
      <c r="L36" s="48"/>
      <c r="M36" s="48"/>
      <c r="N36" s="48"/>
      <c r="O36" s="48"/>
      <c r="P36" s="48"/>
      <c r="Q36" s="48"/>
    </row>
    <row r="37" spans="2:17" s="46" customFormat="1" ht="15" customHeight="1">
      <c r="B37" s="47"/>
      <c r="C37" s="48"/>
      <c r="D37" s="48"/>
      <c r="E37" s="48"/>
      <c r="F37" s="48"/>
      <c r="G37" s="48"/>
      <c r="H37" s="48"/>
      <c r="I37" s="48"/>
      <c r="J37" s="48"/>
      <c r="K37" s="48"/>
      <c r="L37" s="48"/>
      <c r="M37" s="48"/>
      <c r="N37" s="48"/>
      <c r="O37" s="48"/>
      <c r="P37" s="48"/>
      <c r="Q37" s="48"/>
    </row>
    <row r="38" spans="2:17" s="46" customFormat="1" ht="15" customHeight="1">
      <c r="B38" s="47"/>
      <c r="C38" s="48"/>
      <c r="D38" s="48"/>
      <c r="E38" s="48"/>
      <c r="F38" s="48"/>
      <c r="G38" s="48"/>
      <c r="H38" s="48"/>
      <c r="I38" s="48"/>
      <c r="J38" s="48"/>
      <c r="K38" s="48"/>
      <c r="L38" s="48"/>
      <c r="M38" s="48"/>
      <c r="N38" s="48"/>
      <c r="O38" s="48"/>
      <c r="P38" s="48"/>
      <c r="Q38" s="48"/>
    </row>
    <row r="39" spans="2:17" s="46" customFormat="1" ht="15" customHeight="1">
      <c r="B39" s="47"/>
      <c r="C39" s="48"/>
      <c r="D39" s="48"/>
      <c r="E39" s="48"/>
      <c r="F39" s="48"/>
      <c r="G39" s="48"/>
      <c r="H39" s="48"/>
      <c r="I39" s="48"/>
      <c r="J39" s="48"/>
      <c r="K39" s="48"/>
      <c r="L39" s="48"/>
      <c r="M39" s="48"/>
      <c r="N39" s="48"/>
      <c r="O39" s="48"/>
      <c r="P39" s="48"/>
      <c r="Q39" s="48"/>
    </row>
    <row r="40" spans="2:17" s="46" customFormat="1" ht="15" customHeight="1">
      <c r="B40" s="47"/>
      <c r="C40" s="48"/>
      <c r="D40" s="48"/>
      <c r="E40" s="48"/>
      <c r="F40" s="48"/>
      <c r="G40" s="48"/>
      <c r="H40" s="48"/>
      <c r="I40" s="48"/>
      <c r="J40" s="48"/>
      <c r="K40" s="48"/>
      <c r="L40" s="48"/>
      <c r="M40" s="48"/>
      <c r="N40" s="48"/>
      <c r="O40" s="48"/>
      <c r="P40" s="48"/>
      <c r="Q40" s="48"/>
    </row>
    <row r="41" spans="2:17" s="46" customFormat="1" ht="15" customHeight="1">
      <c r="B41" s="47"/>
      <c r="C41" s="48"/>
      <c r="D41" s="48"/>
      <c r="E41" s="48"/>
      <c r="F41" s="48"/>
      <c r="G41" s="48"/>
      <c r="H41" s="48"/>
      <c r="I41" s="48"/>
      <c r="J41" s="48"/>
      <c r="K41" s="48"/>
      <c r="L41" s="48"/>
      <c r="M41" s="48"/>
      <c r="N41" s="48"/>
      <c r="O41" s="48"/>
      <c r="P41" s="48"/>
      <c r="Q41" s="48"/>
    </row>
    <row r="42" spans="2:17" s="46" customFormat="1" ht="15" customHeight="1">
      <c r="B42" s="47"/>
      <c r="C42" s="48"/>
      <c r="D42" s="48"/>
      <c r="E42" s="48"/>
      <c r="F42" s="48"/>
      <c r="G42" s="48"/>
      <c r="H42" s="48"/>
      <c r="I42" s="48"/>
      <c r="J42" s="48"/>
      <c r="K42" s="48"/>
      <c r="L42" s="48"/>
      <c r="M42" s="48"/>
      <c r="N42" s="48"/>
      <c r="O42" s="48"/>
      <c r="P42" s="48"/>
      <c r="Q42" s="48"/>
    </row>
    <row r="43" spans="2:17" s="46" customFormat="1" ht="15" customHeight="1">
      <c r="B43" s="47"/>
      <c r="C43" s="48"/>
      <c r="D43" s="48"/>
      <c r="E43" s="48"/>
      <c r="F43" s="48"/>
      <c r="G43" s="48"/>
      <c r="H43" s="48"/>
      <c r="I43" s="48"/>
      <c r="J43" s="48"/>
      <c r="K43" s="48"/>
      <c r="L43" s="48"/>
      <c r="M43" s="48"/>
      <c r="N43" s="48"/>
      <c r="O43" s="48"/>
      <c r="P43" s="48"/>
      <c r="Q43" s="48"/>
    </row>
    <row r="44" spans="2:17" s="46" customFormat="1" ht="15" customHeight="1">
      <c r="B44" s="47"/>
      <c r="C44" s="48"/>
      <c r="D44" s="48"/>
      <c r="E44" s="48"/>
      <c r="F44" s="48"/>
      <c r="G44" s="48"/>
      <c r="H44" s="48"/>
      <c r="I44" s="48"/>
      <c r="J44" s="48"/>
      <c r="K44" s="48"/>
      <c r="L44" s="48"/>
      <c r="M44" s="48"/>
      <c r="N44" s="48"/>
      <c r="O44" s="48"/>
      <c r="P44" s="48"/>
      <c r="Q44" s="48"/>
    </row>
    <row r="45" spans="2:17" s="46" customFormat="1" ht="15" customHeight="1">
      <c r="B45" s="47"/>
      <c r="C45" s="48"/>
      <c r="D45" s="48"/>
      <c r="E45" s="48"/>
      <c r="F45" s="48"/>
      <c r="G45" s="48"/>
      <c r="H45" s="48"/>
      <c r="I45" s="48"/>
      <c r="J45" s="48"/>
      <c r="K45" s="48"/>
      <c r="L45" s="48"/>
      <c r="M45" s="48"/>
      <c r="N45" s="48"/>
      <c r="O45" s="48"/>
      <c r="P45" s="48"/>
      <c r="Q45" s="48"/>
    </row>
    <row r="46" spans="2:17" s="46" customFormat="1" ht="15" customHeight="1">
      <c r="B46" s="47"/>
      <c r="C46" s="48"/>
      <c r="D46" s="48"/>
      <c r="E46" s="48"/>
      <c r="F46" s="48"/>
      <c r="G46" s="48"/>
      <c r="H46" s="48"/>
      <c r="I46" s="48"/>
      <c r="J46" s="48"/>
      <c r="K46" s="48"/>
      <c r="L46" s="48"/>
      <c r="M46" s="48"/>
      <c r="N46" s="48"/>
      <c r="O46" s="48"/>
      <c r="P46" s="48"/>
      <c r="Q46" s="48"/>
    </row>
    <row r="47" spans="2:17" s="46" customFormat="1" ht="15" customHeight="1">
      <c r="B47" s="47"/>
      <c r="C47" s="48"/>
      <c r="D47" s="48"/>
      <c r="E47" s="48"/>
      <c r="F47" s="48"/>
      <c r="G47" s="48"/>
      <c r="H47" s="48"/>
      <c r="I47" s="48"/>
      <c r="J47" s="48"/>
      <c r="K47" s="48"/>
      <c r="L47" s="48"/>
      <c r="M47" s="48"/>
      <c r="N47" s="48"/>
      <c r="O47" s="48"/>
      <c r="P47" s="48"/>
      <c r="Q47" s="48"/>
    </row>
    <row r="48" spans="2:17" s="46" customFormat="1" ht="15" customHeight="1">
      <c r="B48" s="47"/>
      <c r="C48" s="48"/>
      <c r="D48" s="48"/>
      <c r="E48" s="48"/>
      <c r="F48" s="48"/>
      <c r="G48" s="48"/>
      <c r="H48" s="48"/>
      <c r="I48" s="48"/>
      <c r="J48" s="48"/>
      <c r="K48" s="48"/>
      <c r="L48" s="48"/>
      <c r="M48" s="48"/>
      <c r="N48" s="48"/>
      <c r="O48" s="48"/>
      <c r="P48" s="48"/>
      <c r="Q48" s="48"/>
    </row>
    <row r="49" spans="2:17" s="46" customFormat="1" ht="15" customHeight="1">
      <c r="B49" s="47"/>
      <c r="C49" s="48"/>
      <c r="D49" s="48"/>
      <c r="E49" s="48"/>
      <c r="F49" s="48"/>
      <c r="G49" s="48"/>
      <c r="H49" s="48"/>
      <c r="I49" s="48"/>
      <c r="J49" s="48"/>
      <c r="K49" s="48"/>
      <c r="L49" s="48"/>
      <c r="M49" s="48"/>
      <c r="N49" s="48"/>
      <c r="O49" s="48"/>
      <c r="P49" s="48"/>
      <c r="Q49" s="48"/>
    </row>
    <row r="50" spans="2:17" s="46" customFormat="1" ht="15" customHeight="1">
      <c r="B50" s="47"/>
      <c r="C50" s="48"/>
      <c r="D50" s="48"/>
      <c r="E50" s="48"/>
      <c r="F50" s="48"/>
      <c r="G50" s="48"/>
      <c r="H50" s="48"/>
      <c r="I50" s="48"/>
      <c r="J50" s="48"/>
      <c r="K50" s="48"/>
      <c r="L50" s="48"/>
      <c r="M50" s="48"/>
      <c r="N50" s="48"/>
      <c r="O50" s="48"/>
      <c r="P50" s="48"/>
      <c r="Q50" s="48"/>
    </row>
    <row r="51" spans="2:17" s="46" customFormat="1" ht="15" customHeight="1">
      <c r="B51" s="47"/>
      <c r="C51" s="48"/>
      <c r="D51" s="48"/>
      <c r="E51" s="48"/>
      <c r="F51" s="48"/>
      <c r="G51" s="48"/>
      <c r="H51" s="48"/>
      <c r="I51" s="48"/>
      <c r="J51" s="48"/>
      <c r="K51" s="48"/>
      <c r="L51" s="48"/>
      <c r="M51" s="48"/>
      <c r="N51" s="48"/>
      <c r="O51" s="48"/>
      <c r="P51" s="48"/>
      <c r="Q51" s="48"/>
    </row>
    <row r="52" spans="2:17" s="46" customFormat="1" ht="15" customHeight="1">
      <c r="B52" s="47"/>
      <c r="C52" s="48"/>
      <c r="D52" s="48"/>
      <c r="E52" s="48"/>
      <c r="F52" s="48"/>
      <c r="G52" s="48"/>
      <c r="H52" s="48"/>
      <c r="I52" s="48"/>
      <c r="J52" s="48"/>
      <c r="K52" s="48"/>
      <c r="L52" s="48"/>
      <c r="M52" s="48"/>
      <c r="N52" s="48"/>
      <c r="O52" s="48"/>
      <c r="P52" s="48"/>
      <c r="Q52" s="48"/>
    </row>
    <row r="53" spans="2:17" s="46" customFormat="1" ht="15" customHeight="1">
      <c r="B53" s="47"/>
      <c r="C53" s="48"/>
      <c r="D53" s="48"/>
      <c r="E53" s="48"/>
      <c r="F53" s="48"/>
      <c r="G53" s="48"/>
      <c r="H53" s="48"/>
      <c r="I53" s="48"/>
      <c r="J53" s="48"/>
      <c r="K53" s="48"/>
      <c r="L53" s="48"/>
      <c r="M53" s="48"/>
      <c r="N53" s="48"/>
      <c r="O53" s="48"/>
      <c r="P53" s="48"/>
      <c r="Q53" s="48"/>
    </row>
    <row r="54" spans="2:17" s="46" customFormat="1" ht="15" customHeight="1">
      <c r="B54" s="47"/>
      <c r="C54" s="48"/>
      <c r="D54" s="48"/>
      <c r="E54" s="48"/>
      <c r="F54" s="48"/>
      <c r="G54" s="48"/>
      <c r="H54" s="48"/>
      <c r="I54" s="48"/>
      <c r="J54" s="48"/>
      <c r="K54" s="48"/>
      <c r="L54" s="48"/>
      <c r="M54" s="48"/>
      <c r="N54" s="48"/>
      <c r="O54" s="48"/>
      <c r="P54" s="48"/>
      <c r="Q54" s="48"/>
    </row>
    <row r="55" spans="2:17" s="46" customFormat="1" ht="15" customHeight="1">
      <c r="B55" s="47"/>
      <c r="C55" s="48"/>
      <c r="D55" s="48"/>
      <c r="E55" s="48"/>
      <c r="F55" s="48"/>
      <c r="G55" s="48"/>
      <c r="H55" s="48"/>
      <c r="I55" s="48"/>
      <c r="J55" s="48"/>
      <c r="K55" s="48"/>
      <c r="L55" s="48"/>
      <c r="M55" s="48"/>
      <c r="N55" s="48"/>
      <c r="O55" s="48"/>
      <c r="P55" s="48"/>
      <c r="Q55" s="48"/>
    </row>
    <row r="56" spans="2:17" s="46" customFormat="1" ht="15" customHeight="1">
      <c r="B56" s="47"/>
      <c r="C56" s="48"/>
      <c r="D56" s="48"/>
      <c r="E56" s="48"/>
      <c r="F56" s="48"/>
      <c r="G56" s="48"/>
      <c r="H56" s="48"/>
      <c r="I56" s="48"/>
      <c r="J56" s="48"/>
      <c r="K56" s="48"/>
      <c r="L56" s="48"/>
      <c r="M56" s="48"/>
      <c r="N56" s="48"/>
      <c r="O56" s="48"/>
      <c r="P56" s="48"/>
      <c r="Q56" s="48"/>
    </row>
    <row r="57" spans="2:17" s="46" customFormat="1" ht="15" customHeight="1">
      <c r="B57" s="47"/>
      <c r="C57" s="48"/>
      <c r="D57" s="48"/>
      <c r="E57" s="48"/>
      <c r="F57" s="48"/>
      <c r="G57" s="48"/>
      <c r="H57" s="48"/>
      <c r="I57" s="48"/>
      <c r="J57" s="48"/>
      <c r="K57" s="48"/>
      <c r="L57" s="48"/>
      <c r="M57" s="48"/>
      <c r="N57" s="48"/>
      <c r="O57" s="48"/>
      <c r="P57" s="48"/>
      <c r="Q57" s="48"/>
    </row>
    <row r="58" spans="2:17" s="46" customFormat="1" ht="15" customHeight="1">
      <c r="B58" s="47"/>
      <c r="C58" s="48"/>
      <c r="D58" s="48"/>
      <c r="E58" s="48"/>
      <c r="F58" s="48"/>
      <c r="G58" s="48"/>
      <c r="H58" s="48"/>
      <c r="I58" s="48"/>
      <c r="J58" s="48"/>
      <c r="K58" s="48"/>
      <c r="L58" s="48"/>
      <c r="M58" s="48"/>
      <c r="N58" s="48"/>
      <c r="O58" s="48"/>
      <c r="P58" s="48"/>
      <c r="Q58" s="48"/>
    </row>
    <row r="59" spans="2:17" s="46" customFormat="1" ht="15" customHeight="1">
      <c r="B59" s="47"/>
      <c r="C59" s="48"/>
      <c r="D59" s="48"/>
      <c r="E59" s="48"/>
      <c r="F59" s="48"/>
      <c r="G59" s="48"/>
      <c r="H59" s="48"/>
      <c r="I59" s="48"/>
      <c r="J59" s="48"/>
      <c r="K59" s="48"/>
      <c r="L59" s="48"/>
      <c r="M59" s="48"/>
      <c r="N59" s="48"/>
      <c r="O59" s="48"/>
      <c r="P59" s="48"/>
      <c r="Q59" s="48"/>
    </row>
    <row r="60" spans="2:17" s="46" customFormat="1" ht="15" customHeight="1">
      <c r="B60" s="47"/>
      <c r="C60" s="48"/>
      <c r="D60" s="48"/>
      <c r="E60" s="48"/>
      <c r="F60" s="48"/>
      <c r="G60" s="48"/>
      <c r="H60" s="48"/>
      <c r="I60" s="48"/>
      <c r="J60" s="48"/>
      <c r="K60" s="48"/>
      <c r="L60" s="48"/>
      <c r="M60" s="48"/>
      <c r="N60" s="48"/>
      <c r="O60" s="48"/>
      <c r="P60" s="48"/>
      <c r="Q60" s="48"/>
    </row>
    <row r="61" spans="2:17" s="46" customFormat="1" ht="15" customHeight="1">
      <c r="B61" s="47"/>
      <c r="C61" s="48"/>
      <c r="D61" s="48"/>
      <c r="E61" s="48"/>
      <c r="F61" s="48"/>
      <c r="G61" s="48"/>
      <c r="H61" s="48"/>
      <c r="I61" s="48"/>
      <c r="J61" s="48"/>
      <c r="K61" s="48"/>
      <c r="L61" s="48"/>
      <c r="M61" s="48"/>
      <c r="N61" s="48"/>
      <c r="O61" s="48"/>
      <c r="P61" s="48"/>
      <c r="Q61" s="48"/>
    </row>
    <row r="62" spans="2:17" s="46" customFormat="1" ht="15" customHeight="1">
      <c r="B62" s="47"/>
      <c r="C62" s="48"/>
      <c r="D62" s="48"/>
      <c r="E62" s="48"/>
      <c r="F62" s="48"/>
      <c r="G62" s="48"/>
      <c r="H62" s="48"/>
      <c r="I62" s="48"/>
      <c r="J62" s="48"/>
      <c r="K62" s="48"/>
      <c r="L62" s="48"/>
      <c r="M62" s="48"/>
      <c r="N62" s="48"/>
      <c r="O62" s="48"/>
      <c r="P62" s="48"/>
      <c r="Q62" s="48"/>
    </row>
    <row r="63" spans="2:17" s="46" customFormat="1" ht="15" customHeight="1">
      <c r="B63" s="47"/>
      <c r="C63" s="48"/>
      <c r="D63" s="48"/>
      <c r="E63" s="48"/>
      <c r="F63" s="48"/>
      <c r="G63" s="48"/>
      <c r="H63" s="48"/>
      <c r="I63" s="48"/>
      <c r="J63" s="48"/>
      <c r="K63" s="48"/>
      <c r="L63" s="48"/>
      <c r="M63" s="48"/>
      <c r="N63" s="48"/>
      <c r="O63" s="48"/>
      <c r="P63" s="48"/>
      <c r="Q63" s="48"/>
    </row>
    <row r="64" spans="2:17" s="46" customFormat="1" ht="15" customHeight="1">
      <c r="B64" s="47"/>
      <c r="C64" s="48"/>
      <c r="D64" s="48"/>
      <c r="E64" s="48"/>
      <c r="F64" s="48"/>
      <c r="G64" s="48"/>
      <c r="H64" s="48"/>
      <c r="I64" s="48"/>
      <c r="J64" s="48"/>
      <c r="K64" s="48"/>
      <c r="L64" s="48"/>
      <c r="M64" s="48"/>
      <c r="N64" s="48"/>
      <c r="O64" s="48"/>
      <c r="P64" s="48"/>
      <c r="Q64" s="48"/>
    </row>
    <row r="65" spans="2:17" s="46" customFormat="1" ht="15" customHeight="1">
      <c r="B65" s="47"/>
      <c r="C65" s="48"/>
      <c r="D65" s="48"/>
      <c r="E65" s="48"/>
      <c r="F65" s="48"/>
      <c r="G65" s="48"/>
      <c r="H65" s="48"/>
      <c r="I65" s="48"/>
      <c r="J65" s="48"/>
      <c r="K65" s="48"/>
      <c r="L65" s="48"/>
      <c r="M65" s="48"/>
      <c r="N65" s="48"/>
      <c r="O65" s="48"/>
      <c r="P65" s="48"/>
      <c r="Q65" s="48"/>
    </row>
    <row r="66" spans="2:17" s="46" customFormat="1" ht="15" customHeight="1">
      <c r="B66" s="47"/>
      <c r="C66" s="48"/>
      <c r="D66" s="48"/>
      <c r="E66" s="48"/>
      <c r="F66" s="48"/>
      <c r="G66" s="48"/>
      <c r="H66" s="48"/>
      <c r="I66" s="48"/>
      <c r="J66" s="48"/>
      <c r="K66" s="48"/>
      <c r="L66" s="48"/>
      <c r="M66" s="48"/>
      <c r="N66" s="48"/>
      <c r="O66" s="48"/>
      <c r="P66" s="48"/>
      <c r="Q66" s="48"/>
    </row>
    <row r="67" spans="2:17" s="46" customFormat="1" ht="15" customHeight="1">
      <c r="B67" s="47"/>
      <c r="C67" s="48"/>
      <c r="D67" s="48"/>
      <c r="E67" s="48"/>
      <c r="F67" s="48"/>
      <c r="G67" s="48"/>
      <c r="H67" s="48"/>
      <c r="I67" s="48"/>
      <c r="J67" s="48"/>
      <c r="K67" s="48"/>
      <c r="L67" s="48"/>
      <c r="M67" s="48"/>
      <c r="N67" s="48"/>
      <c r="O67" s="48"/>
      <c r="P67" s="48"/>
      <c r="Q67" s="48"/>
    </row>
    <row r="68" spans="2:17" s="46" customFormat="1" ht="15" customHeight="1">
      <c r="B68" s="47"/>
      <c r="C68" s="48"/>
      <c r="D68" s="48"/>
      <c r="E68" s="48"/>
      <c r="F68" s="48"/>
      <c r="G68" s="48"/>
      <c r="H68" s="48"/>
      <c r="I68" s="48"/>
      <c r="J68" s="48"/>
      <c r="K68" s="48"/>
      <c r="L68" s="48"/>
      <c r="M68" s="48"/>
      <c r="N68" s="48"/>
      <c r="O68" s="48"/>
      <c r="P68" s="48"/>
      <c r="Q68" s="48"/>
    </row>
    <row r="69" spans="2:17" s="46" customFormat="1" ht="15" customHeight="1">
      <c r="B69" s="47"/>
      <c r="C69" s="48"/>
      <c r="D69" s="48"/>
      <c r="E69" s="48"/>
      <c r="F69" s="48"/>
      <c r="G69" s="48"/>
      <c r="H69" s="48"/>
      <c r="I69" s="48"/>
      <c r="J69" s="48"/>
      <c r="K69" s="48"/>
      <c r="L69" s="48"/>
      <c r="M69" s="48"/>
      <c r="N69" s="48"/>
      <c r="O69" s="48"/>
      <c r="P69" s="48"/>
      <c r="Q69" s="48"/>
    </row>
    <row r="70" spans="2:17" s="46" customFormat="1" ht="15" customHeight="1">
      <c r="B70" s="47"/>
      <c r="C70" s="48"/>
      <c r="D70" s="48"/>
      <c r="E70" s="48"/>
      <c r="F70" s="48"/>
      <c r="G70" s="48"/>
      <c r="H70" s="48"/>
      <c r="I70" s="48"/>
      <c r="J70" s="48"/>
      <c r="K70" s="48"/>
      <c r="L70" s="48"/>
      <c r="M70" s="48"/>
      <c r="N70" s="48"/>
      <c r="O70" s="48"/>
      <c r="P70" s="48"/>
      <c r="Q70" s="48"/>
    </row>
    <row r="71" spans="2:17" s="46" customFormat="1" ht="15" customHeight="1">
      <c r="B71" s="47"/>
      <c r="C71" s="48"/>
      <c r="D71" s="48"/>
      <c r="E71" s="48"/>
      <c r="F71" s="48"/>
      <c r="G71" s="48"/>
      <c r="H71" s="48"/>
      <c r="I71" s="48"/>
      <c r="J71" s="48"/>
      <c r="K71" s="48"/>
      <c r="L71" s="48"/>
      <c r="M71" s="48"/>
      <c r="N71" s="48"/>
      <c r="O71" s="48"/>
      <c r="P71" s="48"/>
      <c r="Q71" s="48"/>
    </row>
    <row r="72" spans="2:17" s="46" customFormat="1" ht="15" customHeight="1">
      <c r="B72" s="47"/>
      <c r="C72" s="48"/>
      <c r="D72" s="48"/>
      <c r="E72" s="48"/>
      <c r="F72" s="48"/>
      <c r="G72" s="48"/>
      <c r="H72" s="48"/>
      <c r="I72" s="48"/>
      <c r="J72" s="48"/>
      <c r="K72" s="48"/>
      <c r="L72" s="48"/>
      <c r="M72" s="48"/>
      <c r="N72" s="48"/>
      <c r="O72" s="48"/>
      <c r="P72" s="48"/>
      <c r="Q72" s="48"/>
    </row>
    <row r="73" spans="2:17" s="46" customFormat="1" ht="15" customHeight="1">
      <c r="B73" s="47"/>
      <c r="C73" s="48"/>
      <c r="D73" s="48"/>
      <c r="E73" s="48"/>
      <c r="F73" s="48"/>
      <c r="G73" s="48"/>
      <c r="H73" s="48"/>
      <c r="I73" s="48"/>
      <c r="J73" s="48"/>
      <c r="K73" s="48"/>
      <c r="L73" s="48"/>
      <c r="M73" s="48"/>
      <c r="N73" s="48"/>
      <c r="O73" s="48"/>
      <c r="P73" s="48"/>
      <c r="Q73" s="48"/>
    </row>
    <row r="74" spans="2:17" s="46" customFormat="1" ht="15" customHeight="1">
      <c r="B74" s="47"/>
      <c r="C74" s="48"/>
      <c r="D74" s="48"/>
      <c r="E74" s="48"/>
      <c r="F74" s="48"/>
      <c r="G74" s="48"/>
      <c r="H74" s="48"/>
      <c r="I74" s="48"/>
      <c r="J74" s="48"/>
      <c r="K74" s="48"/>
      <c r="L74" s="48"/>
      <c r="M74" s="48"/>
      <c r="N74" s="48"/>
      <c r="O74" s="48"/>
      <c r="P74" s="48"/>
      <c r="Q74" s="48"/>
    </row>
    <row r="75" spans="2:17" s="46" customFormat="1" ht="15" customHeight="1">
      <c r="B75" s="47"/>
      <c r="C75" s="48"/>
      <c r="D75" s="48"/>
      <c r="E75" s="48"/>
      <c r="F75" s="48"/>
      <c r="G75" s="48"/>
      <c r="H75" s="48"/>
      <c r="I75" s="48"/>
      <c r="J75" s="48"/>
      <c r="K75" s="48"/>
      <c r="L75" s="48"/>
      <c r="M75" s="48"/>
      <c r="N75" s="48"/>
      <c r="O75" s="48"/>
      <c r="P75" s="48"/>
      <c r="Q75" s="48"/>
    </row>
    <row r="76" spans="2:17" s="46" customFormat="1" ht="15" customHeight="1">
      <c r="B76" s="47"/>
      <c r="C76" s="48"/>
      <c r="D76" s="48"/>
      <c r="E76" s="48"/>
      <c r="F76" s="48"/>
      <c r="G76" s="48"/>
      <c r="H76" s="48"/>
      <c r="I76" s="48"/>
      <c r="J76" s="48"/>
      <c r="K76" s="48"/>
      <c r="L76" s="48"/>
      <c r="M76" s="48"/>
      <c r="N76" s="48"/>
      <c r="O76" s="48"/>
      <c r="P76" s="48"/>
      <c r="Q76" s="48"/>
    </row>
    <row r="77" spans="2:17" s="46" customFormat="1" ht="15" customHeight="1">
      <c r="B77" s="47"/>
      <c r="C77" s="48"/>
      <c r="D77" s="48"/>
      <c r="E77" s="48"/>
      <c r="F77" s="48"/>
      <c r="G77" s="48"/>
      <c r="H77" s="48"/>
      <c r="I77" s="48"/>
      <c r="J77" s="48"/>
      <c r="K77" s="48"/>
      <c r="L77" s="48"/>
      <c r="M77" s="48"/>
      <c r="N77" s="48"/>
      <c r="O77" s="48"/>
      <c r="P77" s="48"/>
      <c r="Q77" s="48"/>
    </row>
    <row r="78" spans="2:17" s="46" customFormat="1" ht="15" customHeight="1">
      <c r="B78" s="47"/>
      <c r="C78" s="48"/>
      <c r="D78" s="48"/>
      <c r="E78" s="48"/>
      <c r="F78" s="48"/>
      <c r="G78" s="48"/>
      <c r="H78" s="48"/>
      <c r="I78" s="48"/>
      <c r="J78" s="48"/>
      <c r="K78" s="48"/>
      <c r="L78" s="48"/>
      <c r="M78" s="48"/>
      <c r="N78" s="48"/>
      <c r="O78" s="48"/>
      <c r="P78" s="48"/>
      <c r="Q78" s="48"/>
    </row>
    <row r="79" spans="2:17" s="46" customFormat="1" ht="15" customHeight="1">
      <c r="B79" s="47"/>
      <c r="C79" s="48"/>
      <c r="D79" s="48"/>
      <c r="E79" s="48"/>
      <c r="F79" s="48"/>
      <c r="G79" s="48"/>
      <c r="H79" s="48"/>
      <c r="I79" s="48"/>
      <c r="J79" s="48"/>
      <c r="K79" s="48"/>
      <c r="L79" s="48"/>
      <c r="M79" s="48"/>
      <c r="N79" s="48"/>
      <c r="O79" s="48"/>
      <c r="P79" s="48"/>
      <c r="Q79" s="48"/>
    </row>
    <row r="80" spans="2:17" s="46" customFormat="1" ht="15" customHeight="1">
      <c r="B80" s="47"/>
      <c r="C80" s="48"/>
      <c r="D80" s="48"/>
      <c r="E80" s="48"/>
      <c r="F80" s="48"/>
      <c r="G80" s="48"/>
      <c r="H80" s="48"/>
      <c r="I80" s="48"/>
      <c r="J80" s="48"/>
      <c r="K80" s="48"/>
      <c r="L80" s="48"/>
      <c r="M80" s="48"/>
      <c r="N80" s="48"/>
      <c r="O80" s="48"/>
      <c r="P80" s="48"/>
      <c r="Q80" s="48"/>
    </row>
    <row r="81" spans="2:17" s="46" customFormat="1" ht="15" customHeight="1">
      <c r="B81" s="47"/>
      <c r="C81" s="48"/>
      <c r="D81" s="48"/>
      <c r="E81" s="48"/>
      <c r="F81" s="48"/>
      <c r="G81" s="48"/>
      <c r="H81" s="48"/>
      <c r="I81" s="48"/>
      <c r="J81" s="48"/>
      <c r="K81" s="48"/>
      <c r="L81" s="48"/>
      <c r="M81" s="48"/>
      <c r="N81" s="48"/>
      <c r="O81" s="48"/>
      <c r="P81" s="48"/>
      <c r="Q81" s="48"/>
    </row>
    <row r="82" spans="2:17" s="46" customFormat="1" ht="15" customHeight="1">
      <c r="B82" s="47"/>
      <c r="C82" s="48"/>
      <c r="D82" s="48"/>
      <c r="E82" s="48"/>
      <c r="F82" s="48"/>
      <c r="G82" s="48"/>
      <c r="H82" s="48"/>
      <c r="I82" s="48"/>
      <c r="J82" s="48"/>
      <c r="K82" s="48"/>
      <c r="L82" s="48"/>
      <c r="M82" s="48"/>
      <c r="N82" s="48"/>
      <c r="O82" s="48"/>
      <c r="P82" s="48"/>
      <c r="Q82" s="48"/>
    </row>
    <row r="83" spans="2:17" s="46" customFormat="1" ht="15" customHeight="1">
      <c r="B83" s="47"/>
      <c r="C83" s="48"/>
      <c r="D83" s="48"/>
      <c r="E83" s="48"/>
      <c r="F83" s="48"/>
      <c r="G83" s="48"/>
      <c r="H83" s="48"/>
      <c r="I83" s="48"/>
      <c r="J83" s="48"/>
      <c r="K83" s="48"/>
      <c r="L83" s="48"/>
      <c r="M83" s="48"/>
      <c r="N83" s="48"/>
      <c r="O83" s="48"/>
      <c r="P83" s="48"/>
      <c r="Q83" s="48"/>
    </row>
    <row r="84" spans="2:17" s="46" customFormat="1" ht="15" customHeight="1">
      <c r="B84" s="47"/>
      <c r="C84" s="48"/>
      <c r="D84" s="48"/>
      <c r="E84" s="48"/>
      <c r="F84" s="48"/>
      <c r="G84" s="48"/>
      <c r="H84" s="48"/>
      <c r="I84" s="48"/>
      <c r="J84" s="48"/>
      <c r="K84" s="48"/>
      <c r="L84" s="48"/>
      <c r="M84" s="48"/>
      <c r="N84" s="48"/>
      <c r="O84" s="48"/>
      <c r="P84" s="48"/>
      <c r="Q84" s="48"/>
    </row>
    <row r="85" spans="2:17" s="46" customFormat="1" ht="15" customHeight="1">
      <c r="B85" s="47"/>
      <c r="C85" s="48"/>
      <c r="D85" s="48"/>
      <c r="E85" s="48"/>
      <c r="F85" s="48"/>
      <c r="G85" s="48"/>
      <c r="H85" s="48"/>
      <c r="I85" s="48"/>
      <c r="J85" s="48"/>
      <c r="K85" s="48"/>
      <c r="L85" s="48"/>
      <c r="M85" s="48"/>
      <c r="N85" s="48"/>
      <c r="O85" s="48"/>
      <c r="P85" s="48"/>
      <c r="Q85" s="48"/>
    </row>
    <row r="86" spans="2:17" s="46" customFormat="1" ht="15" customHeight="1">
      <c r="B86" s="47"/>
      <c r="C86" s="48"/>
      <c r="D86" s="48"/>
      <c r="E86" s="48"/>
      <c r="F86" s="48"/>
      <c r="G86" s="48"/>
      <c r="H86" s="48"/>
      <c r="I86" s="48"/>
      <c r="J86" s="48"/>
      <c r="K86" s="48"/>
      <c r="L86" s="48"/>
      <c r="M86" s="48"/>
      <c r="N86" s="48"/>
      <c r="O86" s="48"/>
      <c r="P86" s="48"/>
      <c r="Q86" s="48"/>
    </row>
    <row r="87" spans="2:17" s="46" customFormat="1" ht="15" customHeight="1">
      <c r="B87" s="47"/>
      <c r="C87" s="48"/>
      <c r="D87" s="48"/>
      <c r="E87" s="48"/>
      <c r="F87" s="48"/>
      <c r="G87" s="48"/>
      <c r="H87" s="48"/>
      <c r="I87" s="48"/>
      <c r="J87" s="48"/>
      <c r="K87" s="48"/>
      <c r="L87" s="48"/>
      <c r="M87" s="48"/>
      <c r="N87" s="48"/>
      <c r="O87" s="48"/>
      <c r="P87" s="48"/>
      <c r="Q87" s="48"/>
    </row>
    <row r="88" spans="2:17" s="46" customFormat="1" ht="15" customHeight="1">
      <c r="B88" s="47"/>
      <c r="C88" s="48"/>
      <c r="D88" s="48"/>
      <c r="E88" s="48"/>
      <c r="F88" s="48"/>
      <c r="G88" s="48"/>
      <c r="H88" s="48"/>
      <c r="I88" s="48"/>
      <c r="J88" s="48"/>
      <c r="K88" s="48"/>
      <c r="L88" s="48"/>
      <c r="M88" s="48"/>
      <c r="N88" s="48"/>
      <c r="O88" s="48"/>
      <c r="P88" s="48"/>
      <c r="Q88" s="48"/>
    </row>
    <row r="89" spans="2:17" s="46" customFormat="1" ht="15" customHeight="1">
      <c r="B89" s="47"/>
      <c r="C89" s="48"/>
      <c r="D89" s="48"/>
      <c r="E89" s="48"/>
      <c r="F89" s="48"/>
      <c r="G89" s="48"/>
      <c r="H89" s="48"/>
      <c r="I89" s="48"/>
      <c r="J89" s="48"/>
      <c r="K89" s="48"/>
      <c r="L89" s="48"/>
      <c r="M89" s="48"/>
      <c r="N89" s="48"/>
      <c r="O89" s="48"/>
      <c r="P89" s="48"/>
      <c r="Q89" s="48"/>
    </row>
    <row r="90" spans="2:17" s="46" customFormat="1" ht="15" customHeight="1">
      <c r="B90" s="47"/>
      <c r="C90" s="48"/>
      <c r="D90" s="48"/>
      <c r="E90" s="48"/>
      <c r="F90" s="48"/>
      <c r="G90" s="48"/>
      <c r="H90" s="48"/>
      <c r="I90" s="48"/>
      <c r="J90" s="48"/>
      <c r="K90" s="48"/>
      <c r="L90" s="48"/>
      <c r="M90" s="48"/>
      <c r="N90" s="48"/>
      <c r="O90" s="48"/>
      <c r="P90" s="48"/>
      <c r="Q90" s="48"/>
    </row>
    <row r="91" spans="2:17" s="46" customFormat="1" ht="15" customHeight="1">
      <c r="B91" s="47"/>
      <c r="C91" s="48"/>
      <c r="D91" s="48"/>
      <c r="E91" s="48"/>
      <c r="F91" s="48"/>
      <c r="G91" s="48"/>
      <c r="H91" s="48"/>
      <c r="I91" s="48"/>
      <c r="J91" s="48"/>
      <c r="K91" s="48"/>
      <c r="L91" s="48"/>
      <c r="M91" s="48"/>
      <c r="N91" s="48"/>
      <c r="O91" s="48"/>
      <c r="P91" s="48"/>
      <c r="Q91" s="48"/>
    </row>
    <row r="92" spans="2:17" s="46" customFormat="1" ht="15" customHeight="1">
      <c r="B92" s="47"/>
      <c r="C92" s="48"/>
      <c r="D92" s="48"/>
      <c r="E92" s="48"/>
      <c r="F92" s="48"/>
      <c r="G92" s="48"/>
      <c r="H92" s="48"/>
      <c r="I92" s="48"/>
      <c r="J92" s="48"/>
      <c r="K92" s="48"/>
      <c r="L92" s="48"/>
      <c r="M92" s="48"/>
      <c r="N92" s="48"/>
      <c r="O92" s="48"/>
      <c r="P92" s="48"/>
      <c r="Q92" s="48"/>
    </row>
    <row r="93" spans="2:17" s="46" customFormat="1" ht="15" customHeight="1">
      <c r="B93" s="47"/>
      <c r="C93" s="48"/>
      <c r="D93" s="48"/>
      <c r="E93" s="48"/>
      <c r="F93" s="48"/>
      <c r="G93" s="48"/>
      <c r="H93" s="48"/>
      <c r="I93" s="48"/>
      <c r="J93" s="48"/>
      <c r="K93" s="48"/>
      <c r="L93" s="48"/>
      <c r="M93" s="48"/>
      <c r="N93" s="48"/>
      <c r="O93" s="48"/>
      <c r="P93" s="48"/>
      <c r="Q93" s="48"/>
    </row>
    <row r="94" spans="2:17" s="46" customFormat="1" ht="15" customHeight="1">
      <c r="B94" s="47"/>
      <c r="C94" s="48"/>
      <c r="D94" s="48"/>
      <c r="E94" s="48"/>
      <c r="F94" s="48"/>
      <c r="G94" s="48"/>
      <c r="H94" s="48"/>
      <c r="I94" s="48"/>
      <c r="J94" s="48"/>
      <c r="K94" s="48"/>
      <c r="L94" s="48"/>
      <c r="M94" s="48"/>
      <c r="N94" s="48"/>
      <c r="O94" s="48"/>
      <c r="P94" s="48"/>
      <c r="Q94" s="48"/>
    </row>
    <row r="95" spans="2:17" s="46" customFormat="1" ht="15" customHeight="1">
      <c r="B95" s="47"/>
      <c r="C95" s="48"/>
      <c r="D95" s="48"/>
      <c r="E95" s="48"/>
      <c r="F95" s="48"/>
      <c r="G95" s="48"/>
      <c r="H95" s="48"/>
      <c r="I95" s="48"/>
      <c r="J95" s="48"/>
      <c r="K95" s="48"/>
      <c r="L95" s="48"/>
      <c r="M95" s="48"/>
      <c r="N95" s="48"/>
      <c r="O95" s="48"/>
      <c r="P95" s="48"/>
      <c r="Q95" s="48"/>
    </row>
    <row r="96" spans="2:17" s="46" customFormat="1" ht="15" customHeight="1">
      <c r="B96" s="47"/>
      <c r="C96" s="48"/>
      <c r="D96" s="48"/>
      <c r="E96" s="48"/>
      <c r="F96" s="48"/>
      <c r="G96" s="48"/>
      <c r="H96" s="48"/>
      <c r="I96" s="48"/>
      <c r="J96" s="48"/>
      <c r="K96" s="48"/>
      <c r="L96" s="48"/>
      <c r="M96" s="48"/>
      <c r="N96" s="48"/>
      <c r="O96" s="48"/>
      <c r="P96" s="48"/>
      <c r="Q96" s="48"/>
    </row>
    <row r="97" spans="2:17" s="46" customFormat="1" ht="15" customHeight="1">
      <c r="B97" s="47"/>
      <c r="C97" s="48"/>
      <c r="D97" s="48"/>
      <c r="E97" s="48"/>
      <c r="F97" s="48"/>
      <c r="G97" s="48"/>
      <c r="H97" s="48"/>
      <c r="I97" s="48"/>
      <c r="J97" s="48"/>
      <c r="K97" s="48"/>
      <c r="L97" s="48"/>
      <c r="M97" s="48"/>
      <c r="N97" s="48"/>
      <c r="O97" s="48"/>
      <c r="P97" s="48"/>
      <c r="Q97" s="48"/>
    </row>
    <row r="98" spans="2:17" s="46" customFormat="1" ht="15" customHeight="1">
      <c r="B98" s="47"/>
      <c r="C98" s="48"/>
      <c r="D98" s="48"/>
      <c r="E98" s="48"/>
      <c r="F98" s="48"/>
      <c r="G98" s="48"/>
      <c r="H98" s="48"/>
      <c r="I98" s="48"/>
      <c r="J98" s="48"/>
      <c r="K98" s="48"/>
      <c r="L98" s="48"/>
      <c r="M98" s="48"/>
      <c r="N98" s="48"/>
      <c r="O98" s="48"/>
      <c r="P98" s="48"/>
      <c r="Q98" s="48"/>
    </row>
    <row r="99" spans="2:17" s="46" customFormat="1" ht="15" customHeight="1">
      <c r="B99" s="47"/>
      <c r="C99" s="48"/>
      <c r="D99" s="48"/>
      <c r="E99" s="48"/>
      <c r="F99" s="48"/>
      <c r="G99" s="48"/>
      <c r="H99" s="48"/>
      <c r="I99" s="48"/>
      <c r="J99" s="48"/>
      <c r="K99" s="48"/>
      <c r="L99" s="48"/>
      <c r="M99" s="48"/>
      <c r="N99" s="48"/>
      <c r="O99" s="48"/>
      <c r="P99" s="48"/>
      <c r="Q99" s="48"/>
    </row>
    <row r="100" spans="2:17" s="46" customFormat="1" ht="15" customHeight="1">
      <c r="B100" s="47"/>
      <c r="C100" s="48"/>
      <c r="D100" s="48"/>
      <c r="E100" s="48"/>
      <c r="F100" s="48"/>
      <c r="G100" s="48"/>
      <c r="H100" s="48"/>
      <c r="I100" s="48"/>
      <c r="J100" s="48"/>
      <c r="K100" s="48"/>
      <c r="L100" s="48"/>
      <c r="M100" s="48"/>
      <c r="N100" s="48"/>
      <c r="O100" s="48"/>
      <c r="P100" s="48"/>
      <c r="Q100" s="48"/>
    </row>
    <row r="101" spans="2:17" s="46" customFormat="1" ht="15" customHeight="1">
      <c r="B101" s="47"/>
      <c r="C101" s="48"/>
      <c r="D101" s="48"/>
      <c r="E101" s="48"/>
      <c r="F101" s="48"/>
      <c r="G101" s="48"/>
      <c r="H101" s="48"/>
      <c r="I101" s="48"/>
      <c r="J101" s="48"/>
      <c r="K101" s="48"/>
      <c r="L101" s="48"/>
      <c r="M101" s="48"/>
      <c r="N101" s="48"/>
      <c r="O101" s="48"/>
      <c r="P101" s="48"/>
      <c r="Q101" s="48"/>
    </row>
    <row r="102" spans="2:17" s="46" customFormat="1" ht="15" customHeight="1">
      <c r="B102" s="47"/>
      <c r="C102" s="48"/>
      <c r="D102" s="48"/>
      <c r="E102" s="48"/>
      <c r="F102" s="48"/>
      <c r="G102" s="48"/>
      <c r="H102" s="48"/>
      <c r="I102" s="48"/>
      <c r="J102" s="48"/>
      <c r="K102" s="48"/>
      <c r="L102" s="48"/>
      <c r="M102" s="48"/>
      <c r="N102" s="48"/>
      <c r="O102" s="48"/>
      <c r="P102" s="48"/>
      <c r="Q102" s="48"/>
    </row>
    <row r="103" spans="2:17" s="46" customFormat="1" ht="15" customHeight="1">
      <c r="B103" s="47"/>
      <c r="C103" s="48"/>
      <c r="D103" s="48"/>
      <c r="E103" s="48"/>
      <c r="F103" s="48"/>
      <c r="G103" s="48"/>
      <c r="H103" s="48"/>
      <c r="I103" s="48"/>
      <c r="J103" s="48"/>
      <c r="K103" s="48"/>
      <c r="L103" s="48"/>
      <c r="M103" s="48"/>
      <c r="N103" s="48"/>
      <c r="O103" s="48"/>
      <c r="P103" s="48"/>
      <c r="Q103" s="48"/>
    </row>
    <row r="104" spans="2:17" s="46" customFormat="1" ht="15" customHeight="1">
      <c r="B104" s="47"/>
      <c r="C104" s="48"/>
      <c r="D104" s="48"/>
      <c r="E104" s="48"/>
      <c r="F104" s="48"/>
      <c r="G104" s="48"/>
      <c r="H104" s="48"/>
      <c r="I104" s="48"/>
      <c r="J104" s="48"/>
      <c r="K104" s="48"/>
      <c r="L104" s="48"/>
      <c r="M104" s="48"/>
      <c r="N104" s="48"/>
      <c r="O104" s="48"/>
      <c r="P104" s="48"/>
      <c r="Q104" s="48"/>
    </row>
    <row r="105" spans="2:17" s="46" customFormat="1" ht="15" customHeight="1">
      <c r="B105" s="47"/>
      <c r="C105" s="48"/>
      <c r="D105" s="48"/>
      <c r="E105" s="48"/>
      <c r="F105" s="48"/>
      <c r="G105" s="48"/>
      <c r="H105" s="48"/>
      <c r="I105" s="48"/>
      <c r="J105" s="48"/>
      <c r="K105" s="48"/>
      <c r="L105" s="48"/>
      <c r="M105" s="48"/>
      <c r="N105" s="48"/>
      <c r="O105" s="48"/>
      <c r="P105" s="48"/>
      <c r="Q105" s="48"/>
    </row>
    <row r="106" spans="2:17" s="46" customFormat="1" ht="15" customHeight="1">
      <c r="B106" s="47"/>
      <c r="C106" s="48"/>
      <c r="D106" s="48"/>
      <c r="E106" s="48"/>
      <c r="F106" s="48"/>
      <c r="G106" s="48"/>
      <c r="H106" s="48"/>
      <c r="I106" s="48"/>
      <c r="J106" s="48"/>
      <c r="K106" s="48"/>
      <c r="L106" s="48"/>
      <c r="M106" s="48"/>
      <c r="N106" s="48"/>
      <c r="O106" s="48"/>
      <c r="P106" s="48"/>
      <c r="Q106" s="48"/>
    </row>
    <row r="107" spans="2:17" s="46" customFormat="1" ht="15" customHeight="1">
      <c r="B107" s="47"/>
      <c r="C107" s="48"/>
      <c r="D107" s="48"/>
      <c r="E107" s="48"/>
      <c r="F107" s="48"/>
      <c r="G107" s="48"/>
      <c r="H107" s="48"/>
      <c r="I107" s="48"/>
      <c r="J107" s="48"/>
      <c r="K107" s="48"/>
      <c r="L107" s="48"/>
      <c r="M107" s="48"/>
      <c r="N107" s="48"/>
      <c r="O107" s="48"/>
      <c r="P107" s="48"/>
      <c r="Q107" s="48"/>
    </row>
    <row r="108" spans="2:17" s="46" customFormat="1" ht="15" customHeight="1">
      <c r="B108" s="47"/>
      <c r="C108" s="48"/>
      <c r="D108" s="48"/>
      <c r="E108" s="48"/>
      <c r="F108" s="48"/>
      <c r="G108" s="48"/>
      <c r="H108" s="48"/>
      <c r="I108" s="48"/>
      <c r="J108" s="48"/>
      <c r="K108" s="48"/>
      <c r="L108" s="48"/>
      <c r="M108" s="48"/>
      <c r="N108" s="48"/>
      <c r="O108" s="48"/>
      <c r="P108" s="48"/>
      <c r="Q108" s="48"/>
    </row>
    <row r="109" spans="2:17" s="46" customFormat="1" ht="15" customHeight="1">
      <c r="B109" s="47"/>
      <c r="C109" s="48"/>
      <c r="D109" s="48"/>
      <c r="E109" s="48"/>
      <c r="F109" s="48"/>
      <c r="G109" s="48"/>
      <c r="H109" s="48"/>
      <c r="I109" s="48"/>
      <c r="J109" s="48"/>
      <c r="K109" s="48"/>
      <c r="L109" s="48"/>
      <c r="M109" s="48"/>
      <c r="N109" s="48"/>
      <c r="O109" s="48"/>
      <c r="P109" s="48"/>
      <c r="Q109" s="48"/>
    </row>
    <row r="110" spans="2:17" s="46" customFormat="1" ht="15" customHeight="1">
      <c r="B110" s="47"/>
      <c r="C110" s="48"/>
      <c r="D110" s="48"/>
      <c r="E110" s="48"/>
      <c r="F110" s="48"/>
      <c r="G110" s="48"/>
      <c r="H110" s="48"/>
      <c r="I110" s="48"/>
      <c r="J110" s="48"/>
      <c r="K110" s="48"/>
      <c r="L110" s="48"/>
      <c r="M110" s="48"/>
      <c r="N110" s="48"/>
      <c r="O110" s="48"/>
      <c r="P110" s="48"/>
      <c r="Q110" s="48"/>
    </row>
    <row r="111" spans="2:17" s="46" customFormat="1" ht="15" customHeight="1">
      <c r="B111" s="47"/>
      <c r="C111" s="48"/>
      <c r="D111" s="48"/>
      <c r="E111" s="48"/>
      <c r="F111" s="48"/>
      <c r="G111" s="48"/>
      <c r="H111" s="48"/>
      <c r="I111" s="48"/>
      <c r="J111" s="48"/>
      <c r="K111" s="48"/>
      <c r="L111" s="48"/>
      <c r="M111" s="48"/>
      <c r="N111" s="48"/>
      <c r="O111" s="48"/>
      <c r="P111" s="48"/>
      <c r="Q111" s="48"/>
    </row>
    <row r="112" spans="2:17" s="46" customFormat="1" ht="15" customHeight="1">
      <c r="B112" s="47"/>
      <c r="C112" s="48"/>
      <c r="D112" s="48"/>
      <c r="E112" s="48"/>
      <c r="F112" s="48"/>
      <c r="G112" s="48"/>
      <c r="H112" s="48"/>
      <c r="I112" s="48"/>
      <c r="J112" s="48"/>
      <c r="K112" s="48"/>
      <c r="L112" s="48"/>
      <c r="M112" s="48"/>
      <c r="N112" s="48"/>
      <c r="O112" s="48"/>
      <c r="P112" s="48"/>
      <c r="Q112" s="48"/>
    </row>
    <row r="113" spans="2:17" s="46" customFormat="1" ht="15" customHeight="1">
      <c r="B113" s="47"/>
      <c r="C113" s="48"/>
      <c r="D113" s="48"/>
      <c r="E113" s="48"/>
      <c r="F113" s="48"/>
      <c r="G113" s="48"/>
      <c r="H113" s="48"/>
      <c r="I113" s="48"/>
      <c r="J113" s="48"/>
      <c r="K113" s="48"/>
      <c r="L113" s="48"/>
      <c r="M113" s="48"/>
      <c r="N113" s="48"/>
      <c r="O113" s="48"/>
      <c r="P113" s="48"/>
      <c r="Q113" s="48"/>
    </row>
    <row r="114" spans="2:17" s="46" customFormat="1" ht="15" customHeight="1">
      <c r="B114" s="47"/>
      <c r="C114" s="48"/>
      <c r="D114" s="48"/>
      <c r="E114" s="48"/>
      <c r="F114" s="48"/>
      <c r="G114" s="48"/>
      <c r="H114" s="48"/>
      <c r="I114" s="48"/>
      <c r="J114" s="48"/>
      <c r="K114" s="48"/>
      <c r="L114" s="48"/>
      <c r="M114" s="48"/>
      <c r="N114" s="48"/>
      <c r="O114" s="48"/>
      <c r="P114" s="48"/>
      <c r="Q114" s="48"/>
    </row>
    <row r="115" spans="2:17" s="46" customFormat="1" ht="15" customHeight="1">
      <c r="B115" s="47"/>
      <c r="C115" s="48"/>
      <c r="D115" s="48"/>
      <c r="E115" s="48"/>
      <c r="F115" s="48"/>
      <c r="G115" s="48"/>
      <c r="H115" s="48"/>
      <c r="I115" s="48"/>
      <c r="J115" s="48"/>
      <c r="K115" s="48"/>
      <c r="L115" s="48"/>
      <c r="M115" s="48"/>
      <c r="N115" s="48"/>
      <c r="O115" s="48"/>
      <c r="P115" s="48"/>
      <c r="Q115" s="48"/>
    </row>
    <row r="116" spans="2:17" s="46" customFormat="1" ht="15" customHeight="1">
      <c r="B116" s="47"/>
      <c r="C116" s="48"/>
      <c r="D116" s="48"/>
      <c r="E116" s="48"/>
      <c r="F116" s="48"/>
      <c r="G116" s="48"/>
      <c r="H116" s="48"/>
      <c r="I116" s="48"/>
      <c r="J116" s="48"/>
      <c r="K116" s="48"/>
      <c r="L116" s="48"/>
      <c r="M116" s="48"/>
      <c r="N116" s="48"/>
      <c r="O116" s="48"/>
      <c r="P116" s="48"/>
      <c r="Q116" s="48"/>
    </row>
    <row r="117" spans="2:17" s="46" customFormat="1" ht="15" customHeight="1">
      <c r="B117" s="47"/>
      <c r="C117" s="48"/>
      <c r="D117" s="48"/>
      <c r="E117" s="48"/>
      <c r="F117" s="48"/>
      <c r="G117" s="48"/>
      <c r="H117" s="48"/>
      <c r="I117" s="48"/>
      <c r="J117" s="48"/>
      <c r="K117" s="48"/>
      <c r="L117" s="48"/>
      <c r="M117" s="48"/>
      <c r="N117" s="48"/>
      <c r="O117" s="48"/>
      <c r="P117" s="48"/>
      <c r="Q117" s="48"/>
    </row>
    <row r="118" spans="2:17" s="46" customFormat="1" ht="15" customHeight="1">
      <c r="B118" s="47"/>
      <c r="C118" s="48"/>
      <c r="D118" s="48"/>
      <c r="E118" s="48"/>
      <c r="F118" s="48"/>
      <c r="G118" s="48"/>
      <c r="H118" s="48"/>
      <c r="I118" s="48"/>
      <c r="J118" s="48"/>
      <c r="K118" s="48"/>
      <c r="L118" s="48"/>
      <c r="M118" s="48"/>
      <c r="N118" s="48"/>
      <c r="O118" s="48"/>
      <c r="P118" s="48"/>
      <c r="Q118" s="48"/>
    </row>
    <row r="119" spans="2:17" s="46" customFormat="1" ht="15" customHeight="1">
      <c r="B119" s="47"/>
      <c r="C119" s="48"/>
      <c r="D119" s="48"/>
      <c r="E119" s="48"/>
      <c r="F119" s="48"/>
      <c r="G119" s="48"/>
      <c r="H119" s="48"/>
      <c r="I119" s="48"/>
      <c r="J119" s="48"/>
      <c r="K119" s="48"/>
      <c r="L119" s="48"/>
      <c r="M119" s="48"/>
      <c r="N119" s="48"/>
      <c r="O119" s="48"/>
      <c r="P119" s="48"/>
      <c r="Q119" s="48"/>
    </row>
    <row r="120" spans="2:17" s="46" customFormat="1" ht="15" customHeight="1">
      <c r="B120" s="47"/>
      <c r="C120" s="48"/>
      <c r="D120" s="48"/>
      <c r="E120" s="48"/>
      <c r="F120" s="48"/>
      <c r="G120" s="48"/>
      <c r="H120" s="48"/>
      <c r="I120" s="48"/>
      <c r="J120" s="48"/>
      <c r="K120" s="48"/>
      <c r="L120" s="48"/>
      <c r="M120" s="48"/>
      <c r="N120" s="48"/>
      <c r="O120" s="48"/>
      <c r="P120" s="48"/>
      <c r="Q120" s="48"/>
    </row>
    <row r="121" spans="2:17" s="46" customFormat="1" ht="15" customHeight="1">
      <c r="B121" s="47"/>
      <c r="C121" s="48"/>
      <c r="D121" s="48"/>
      <c r="E121" s="48"/>
      <c r="F121" s="48"/>
      <c r="G121" s="48"/>
      <c r="H121" s="48"/>
      <c r="I121" s="48"/>
      <c r="J121" s="48"/>
      <c r="K121" s="48"/>
      <c r="L121" s="48"/>
      <c r="M121" s="48"/>
      <c r="N121" s="48"/>
      <c r="O121" s="48"/>
      <c r="P121" s="48"/>
      <c r="Q121" s="48"/>
    </row>
    <row r="122" spans="2:17" s="46" customFormat="1" ht="15" customHeight="1">
      <c r="B122" s="47"/>
      <c r="C122" s="48"/>
      <c r="D122" s="48"/>
      <c r="E122" s="48"/>
      <c r="F122" s="48"/>
      <c r="G122" s="48"/>
      <c r="H122" s="48"/>
      <c r="I122" s="48"/>
      <c r="J122" s="48"/>
      <c r="K122" s="48"/>
      <c r="L122" s="48"/>
      <c r="M122" s="48"/>
      <c r="N122" s="48"/>
      <c r="O122" s="48"/>
      <c r="P122" s="48"/>
      <c r="Q122" s="48"/>
    </row>
    <row r="123" spans="2:17" s="46" customFormat="1" ht="15" customHeight="1">
      <c r="B123" s="47"/>
      <c r="C123" s="48"/>
      <c r="D123" s="48"/>
      <c r="E123" s="48"/>
      <c r="F123" s="48"/>
      <c r="G123" s="48"/>
      <c r="H123" s="48"/>
      <c r="I123" s="48"/>
      <c r="J123" s="48"/>
      <c r="K123" s="48"/>
      <c r="L123" s="48"/>
      <c r="M123" s="48"/>
      <c r="N123" s="48"/>
      <c r="O123" s="48"/>
      <c r="P123" s="48"/>
      <c r="Q123" s="48"/>
    </row>
    <row r="124" spans="2:17" s="46" customFormat="1" ht="15" customHeight="1">
      <c r="B124" s="47"/>
      <c r="C124" s="48"/>
      <c r="D124" s="48"/>
      <c r="E124" s="48"/>
      <c r="F124" s="48"/>
      <c r="G124" s="48"/>
      <c r="H124" s="48"/>
      <c r="I124" s="48"/>
      <c r="J124" s="48"/>
      <c r="K124" s="48"/>
      <c r="L124" s="48"/>
      <c r="M124" s="48"/>
      <c r="N124" s="48"/>
      <c r="O124" s="48"/>
      <c r="P124" s="48"/>
      <c r="Q124" s="48"/>
    </row>
    <row r="125" spans="2:17" s="46" customFormat="1" ht="15" customHeight="1">
      <c r="B125" s="47"/>
      <c r="C125" s="48"/>
      <c r="D125" s="48"/>
      <c r="E125" s="48"/>
      <c r="F125" s="48"/>
      <c r="G125" s="48"/>
      <c r="H125" s="48"/>
      <c r="I125" s="48"/>
      <c r="J125" s="48"/>
      <c r="K125" s="48"/>
      <c r="L125" s="48"/>
      <c r="M125" s="48"/>
      <c r="N125" s="48"/>
      <c r="O125" s="48"/>
      <c r="P125" s="48"/>
      <c r="Q125" s="48"/>
    </row>
    <row r="126" spans="2:17" s="46" customFormat="1" ht="15" customHeight="1">
      <c r="B126" s="47"/>
      <c r="C126" s="48"/>
      <c r="D126" s="48"/>
      <c r="E126" s="48"/>
      <c r="F126" s="48"/>
      <c r="G126" s="48"/>
      <c r="H126" s="48"/>
      <c r="I126" s="48"/>
      <c r="J126" s="48"/>
      <c r="K126" s="48"/>
      <c r="L126" s="48"/>
      <c r="M126" s="48"/>
      <c r="N126" s="48"/>
      <c r="O126" s="48"/>
      <c r="P126" s="48"/>
      <c r="Q126" s="48"/>
    </row>
    <row r="127" spans="2:17" s="46" customFormat="1" ht="15" customHeight="1">
      <c r="B127" s="47"/>
      <c r="C127" s="48"/>
      <c r="D127" s="48"/>
      <c r="E127" s="48"/>
      <c r="F127" s="48"/>
      <c r="G127" s="48"/>
      <c r="H127" s="48"/>
      <c r="I127" s="48"/>
      <c r="J127" s="48"/>
      <c r="K127" s="48"/>
      <c r="L127" s="48"/>
      <c r="M127" s="48"/>
      <c r="N127" s="48"/>
      <c r="O127" s="48"/>
      <c r="P127" s="48"/>
      <c r="Q127" s="48"/>
    </row>
    <row r="128" spans="2:17" s="46" customFormat="1" ht="15" customHeight="1">
      <c r="B128" s="47"/>
      <c r="C128" s="48"/>
      <c r="D128" s="48"/>
      <c r="E128" s="48"/>
      <c r="F128" s="48"/>
      <c r="G128" s="48"/>
      <c r="H128" s="48"/>
      <c r="I128" s="48"/>
      <c r="J128" s="48"/>
      <c r="K128" s="48"/>
      <c r="L128" s="48"/>
      <c r="M128" s="48"/>
      <c r="N128" s="48"/>
      <c r="O128" s="48"/>
      <c r="P128" s="48"/>
      <c r="Q128" s="48"/>
    </row>
    <row r="129" spans="2:17" s="46" customFormat="1" ht="15" customHeight="1">
      <c r="B129" s="47"/>
      <c r="C129" s="48"/>
      <c r="D129" s="48"/>
      <c r="E129" s="48"/>
      <c r="F129" s="48"/>
      <c r="G129" s="48"/>
      <c r="H129" s="48"/>
      <c r="I129" s="48"/>
      <c r="J129" s="48"/>
      <c r="K129" s="48"/>
      <c r="L129" s="48"/>
      <c r="M129" s="48"/>
      <c r="N129" s="48"/>
      <c r="O129" s="48"/>
      <c r="P129" s="48"/>
      <c r="Q129" s="48"/>
    </row>
    <row r="130" spans="2:17" s="46" customFormat="1" ht="15" customHeight="1">
      <c r="B130" s="47"/>
      <c r="C130" s="48"/>
      <c r="D130" s="48"/>
      <c r="E130" s="48"/>
      <c r="F130" s="48"/>
      <c r="G130" s="48"/>
      <c r="H130" s="48"/>
      <c r="I130" s="48"/>
      <c r="J130" s="48"/>
      <c r="K130" s="48"/>
      <c r="L130" s="48"/>
      <c r="M130" s="48"/>
      <c r="N130" s="48"/>
      <c r="O130" s="48"/>
      <c r="P130" s="48"/>
      <c r="Q130" s="48"/>
    </row>
    <row r="131" spans="2:17" s="46" customFormat="1" ht="15" customHeight="1">
      <c r="B131" s="47"/>
      <c r="C131" s="48"/>
      <c r="D131" s="48"/>
      <c r="E131" s="48"/>
      <c r="F131" s="48"/>
      <c r="G131" s="48"/>
      <c r="H131" s="48"/>
      <c r="I131" s="48"/>
      <c r="J131" s="48"/>
      <c r="K131" s="48"/>
      <c r="L131" s="48"/>
      <c r="M131" s="48"/>
      <c r="N131" s="48"/>
      <c r="O131" s="48"/>
      <c r="P131" s="48"/>
      <c r="Q131" s="48"/>
    </row>
    <row r="132" spans="2:17" s="46" customFormat="1" ht="15" customHeight="1">
      <c r="B132" s="47"/>
      <c r="C132" s="48"/>
      <c r="D132" s="48"/>
      <c r="E132" s="48"/>
      <c r="F132" s="48"/>
      <c r="G132" s="48"/>
      <c r="H132" s="48"/>
      <c r="I132" s="48"/>
      <c r="J132" s="48"/>
      <c r="K132" s="48"/>
      <c r="L132" s="48"/>
      <c r="M132" s="48"/>
      <c r="N132" s="48"/>
      <c r="O132" s="48"/>
      <c r="P132" s="48"/>
      <c r="Q132" s="48"/>
    </row>
    <row r="133" spans="2:17" s="46" customFormat="1" ht="15" customHeight="1">
      <c r="B133" s="47"/>
      <c r="C133" s="48"/>
      <c r="D133" s="48"/>
      <c r="E133" s="48"/>
      <c r="F133" s="48"/>
      <c r="G133" s="48"/>
      <c r="H133" s="48"/>
      <c r="I133" s="48"/>
      <c r="J133" s="48"/>
      <c r="K133" s="48"/>
      <c r="L133" s="48"/>
      <c r="M133" s="48"/>
      <c r="N133" s="48"/>
      <c r="O133" s="48"/>
      <c r="P133" s="48"/>
      <c r="Q133" s="48"/>
    </row>
    <row r="134" spans="2:17" s="46" customFormat="1" ht="15" customHeight="1">
      <c r="B134" s="47"/>
      <c r="C134" s="48"/>
      <c r="D134" s="48"/>
      <c r="E134" s="48"/>
      <c r="F134" s="48"/>
      <c r="G134" s="48"/>
      <c r="H134" s="48"/>
      <c r="I134" s="48"/>
      <c r="J134" s="48"/>
      <c r="K134" s="48"/>
      <c r="L134" s="48"/>
      <c r="M134" s="48"/>
      <c r="N134" s="48"/>
      <c r="O134" s="48"/>
      <c r="P134" s="48"/>
      <c r="Q134" s="48"/>
    </row>
    <row r="135" spans="2:17" s="46" customFormat="1" ht="15" customHeight="1">
      <c r="B135" s="47"/>
      <c r="C135" s="48"/>
      <c r="D135" s="48"/>
      <c r="E135" s="48"/>
      <c r="F135" s="48"/>
      <c r="G135" s="48"/>
      <c r="H135" s="48"/>
      <c r="I135" s="48"/>
      <c r="J135" s="48"/>
      <c r="K135" s="48"/>
      <c r="L135" s="48"/>
      <c r="M135" s="48"/>
      <c r="N135" s="48"/>
      <c r="O135" s="48"/>
      <c r="P135" s="48"/>
      <c r="Q135" s="48"/>
    </row>
    <row r="136" spans="2:17" s="46" customFormat="1" ht="15" customHeight="1">
      <c r="B136" s="47"/>
      <c r="C136" s="48"/>
      <c r="D136" s="48"/>
      <c r="E136" s="48"/>
      <c r="F136" s="48"/>
      <c r="G136" s="48"/>
      <c r="H136" s="48"/>
      <c r="I136" s="48"/>
      <c r="J136" s="48"/>
      <c r="K136" s="48"/>
      <c r="L136" s="48"/>
      <c r="M136" s="48"/>
      <c r="N136" s="48"/>
      <c r="O136" s="48"/>
      <c r="P136" s="48"/>
      <c r="Q136" s="48"/>
    </row>
    <row r="137" spans="2:17" s="46" customFormat="1" ht="15" customHeight="1">
      <c r="B137" s="47"/>
      <c r="C137" s="48"/>
      <c r="D137" s="48"/>
      <c r="E137" s="48"/>
      <c r="F137" s="48"/>
      <c r="G137" s="48"/>
      <c r="H137" s="48"/>
      <c r="I137" s="48"/>
      <c r="J137" s="48"/>
      <c r="K137" s="48"/>
      <c r="L137" s="48"/>
      <c r="M137" s="48"/>
      <c r="N137" s="48"/>
      <c r="O137" s="48"/>
      <c r="P137" s="48"/>
      <c r="Q137" s="48"/>
    </row>
    <row r="138" spans="2:17" s="46" customFormat="1" ht="15" customHeight="1">
      <c r="B138" s="47"/>
      <c r="C138" s="48"/>
      <c r="D138" s="48"/>
      <c r="E138" s="48"/>
      <c r="F138" s="48"/>
      <c r="G138" s="48"/>
      <c r="H138" s="48"/>
      <c r="I138" s="48"/>
      <c r="J138" s="48"/>
      <c r="K138" s="48"/>
      <c r="L138" s="48"/>
      <c r="M138" s="48"/>
      <c r="N138" s="48"/>
      <c r="O138" s="48"/>
      <c r="P138" s="48"/>
      <c r="Q138" s="48"/>
    </row>
    <row r="139" spans="2:17" s="46" customFormat="1" ht="15" customHeight="1">
      <c r="B139" s="47"/>
      <c r="C139" s="48"/>
      <c r="D139" s="48"/>
      <c r="E139" s="48"/>
      <c r="F139" s="48"/>
      <c r="G139" s="48"/>
      <c r="H139" s="48"/>
      <c r="I139" s="48"/>
      <c r="J139" s="48"/>
      <c r="K139" s="48"/>
      <c r="L139" s="48"/>
      <c r="M139" s="48"/>
      <c r="N139" s="48"/>
      <c r="O139" s="48"/>
      <c r="P139" s="48"/>
      <c r="Q139" s="48"/>
    </row>
    <row r="140" spans="2:17" s="46" customFormat="1" ht="15" customHeight="1">
      <c r="B140" s="47"/>
      <c r="C140" s="48"/>
      <c r="D140" s="48"/>
      <c r="E140" s="48"/>
      <c r="F140" s="48"/>
      <c r="G140" s="48"/>
      <c r="H140" s="48"/>
      <c r="I140" s="48"/>
      <c r="J140" s="48"/>
      <c r="K140" s="48"/>
      <c r="L140" s="48"/>
      <c r="M140" s="48"/>
      <c r="N140" s="48"/>
      <c r="O140" s="48"/>
      <c r="P140" s="48"/>
      <c r="Q140" s="48"/>
    </row>
    <row r="141" spans="2:17" s="46" customFormat="1" ht="15" customHeight="1">
      <c r="B141" s="47"/>
      <c r="C141" s="48"/>
      <c r="D141" s="48"/>
      <c r="E141" s="48"/>
      <c r="F141" s="48"/>
      <c r="G141" s="48"/>
      <c r="H141" s="48"/>
      <c r="I141" s="48"/>
      <c r="J141" s="48"/>
      <c r="K141" s="48"/>
      <c r="L141" s="48"/>
      <c r="M141" s="48"/>
      <c r="N141" s="48"/>
      <c r="O141" s="48"/>
      <c r="P141" s="48"/>
      <c r="Q141" s="48"/>
    </row>
    <row r="142" spans="2:17" s="46" customFormat="1" ht="15" customHeight="1">
      <c r="B142" s="47"/>
      <c r="C142" s="48"/>
      <c r="D142" s="48"/>
      <c r="E142" s="48"/>
      <c r="F142" s="48"/>
      <c r="G142" s="48"/>
      <c r="H142" s="48"/>
      <c r="I142" s="48"/>
      <c r="J142" s="48"/>
      <c r="K142" s="48"/>
      <c r="L142" s="48"/>
      <c r="M142" s="48"/>
      <c r="N142" s="48"/>
      <c r="O142" s="48"/>
      <c r="P142" s="48"/>
      <c r="Q142" s="48"/>
    </row>
    <row r="143" spans="2:17" s="46" customFormat="1" ht="15" customHeight="1">
      <c r="B143" s="47"/>
      <c r="C143" s="48"/>
      <c r="D143" s="48"/>
      <c r="E143" s="48"/>
      <c r="F143" s="48"/>
      <c r="G143" s="48"/>
      <c r="H143" s="48"/>
      <c r="I143" s="48"/>
      <c r="J143" s="48"/>
      <c r="K143" s="48"/>
      <c r="L143" s="48"/>
      <c r="M143" s="48"/>
      <c r="N143" s="48"/>
      <c r="O143" s="48"/>
      <c r="P143" s="48"/>
      <c r="Q143" s="48"/>
    </row>
    <row r="144" spans="2:17" s="46" customFormat="1" ht="15" customHeight="1">
      <c r="B144" s="47"/>
      <c r="C144" s="48"/>
      <c r="D144" s="48"/>
      <c r="E144" s="48"/>
      <c r="F144" s="48"/>
      <c r="G144" s="48"/>
      <c r="H144" s="48"/>
      <c r="I144" s="48"/>
      <c r="J144" s="48"/>
      <c r="K144" s="48"/>
      <c r="L144" s="48"/>
      <c r="M144" s="48"/>
      <c r="N144" s="48"/>
      <c r="O144" s="48"/>
      <c r="P144" s="48"/>
      <c r="Q144" s="48"/>
    </row>
    <row r="145" spans="2:17" s="46" customFormat="1" ht="15" customHeight="1">
      <c r="B145" s="47"/>
      <c r="C145" s="48"/>
      <c r="D145" s="48"/>
      <c r="E145" s="48"/>
      <c r="F145" s="48"/>
      <c r="G145" s="48"/>
      <c r="H145" s="48"/>
      <c r="I145" s="48"/>
      <c r="J145" s="48"/>
      <c r="K145" s="48"/>
      <c r="L145" s="48"/>
      <c r="M145" s="48"/>
      <c r="N145" s="48"/>
      <c r="O145" s="48"/>
      <c r="P145" s="48"/>
      <c r="Q145" s="48"/>
    </row>
    <row r="146" spans="2:17" s="46" customFormat="1" ht="15" customHeight="1">
      <c r="B146" s="47"/>
      <c r="C146" s="48"/>
      <c r="D146" s="48"/>
      <c r="E146" s="48"/>
      <c r="F146" s="48"/>
      <c r="G146" s="48"/>
      <c r="H146" s="48"/>
      <c r="I146" s="48"/>
      <c r="J146" s="48"/>
      <c r="K146" s="48"/>
      <c r="L146" s="48"/>
      <c r="M146" s="48"/>
      <c r="N146" s="48"/>
      <c r="O146" s="48"/>
      <c r="P146" s="48"/>
      <c r="Q146" s="48"/>
    </row>
    <row r="147" spans="2:17" s="46" customFormat="1" ht="15" customHeight="1">
      <c r="B147" s="47"/>
      <c r="C147" s="48"/>
      <c r="D147" s="48"/>
      <c r="E147" s="48"/>
      <c r="F147" s="48"/>
      <c r="G147" s="48"/>
      <c r="H147" s="48"/>
      <c r="I147" s="48"/>
      <c r="J147" s="48"/>
      <c r="K147" s="48"/>
      <c r="L147" s="48"/>
      <c r="M147" s="48"/>
      <c r="N147" s="48"/>
      <c r="O147" s="48"/>
      <c r="P147" s="48"/>
      <c r="Q147" s="48"/>
    </row>
    <row r="148" spans="2:17" s="46" customFormat="1" ht="15" customHeight="1">
      <c r="B148" s="47"/>
      <c r="C148" s="48"/>
      <c r="D148" s="48"/>
      <c r="E148" s="48"/>
      <c r="F148" s="48"/>
      <c r="G148" s="48"/>
      <c r="H148" s="48"/>
      <c r="I148" s="48"/>
      <c r="J148" s="48"/>
      <c r="K148" s="48"/>
      <c r="L148" s="48"/>
      <c r="M148" s="48"/>
      <c r="N148" s="48"/>
      <c r="O148" s="48"/>
      <c r="P148" s="48"/>
      <c r="Q148" s="48"/>
    </row>
    <row r="149" spans="2:17" s="46" customFormat="1" ht="15" customHeight="1">
      <c r="B149" s="47"/>
      <c r="C149" s="48"/>
      <c r="D149" s="48"/>
      <c r="E149" s="48"/>
      <c r="F149" s="48"/>
      <c r="G149" s="48"/>
      <c r="H149" s="48"/>
      <c r="I149" s="48"/>
      <c r="J149" s="48"/>
      <c r="K149" s="48"/>
      <c r="L149" s="48"/>
      <c r="M149" s="48"/>
      <c r="N149" s="48"/>
      <c r="O149" s="48"/>
      <c r="P149" s="48"/>
      <c r="Q149" s="48"/>
    </row>
    <row r="150" spans="2:17" s="46" customFormat="1" ht="15" customHeight="1">
      <c r="B150" s="47"/>
      <c r="C150" s="48"/>
      <c r="D150" s="48"/>
      <c r="E150" s="48"/>
      <c r="F150" s="48"/>
      <c r="G150" s="48"/>
      <c r="H150" s="48"/>
      <c r="I150" s="48"/>
      <c r="J150" s="48"/>
      <c r="K150" s="48"/>
      <c r="L150" s="48"/>
      <c r="M150" s="48"/>
      <c r="N150" s="48"/>
      <c r="O150" s="48"/>
      <c r="P150" s="48"/>
      <c r="Q150" s="48"/>
    </row>
    <row r="151" spans="2:17" s="46" customFormat="1" ht="15" customHeight="1">
      <c r="B151" s="47"/>
      <c r="C151" s="48"/>
      <c r="D151" s="48"/>
      <c r="E151" s="48"/>
      <c r="F151" s="48"/>
      <c r="G151" s="48"/>
      <c r="H151" s="48"/>
      <c r="I151" s="48"/>
      <c r="J151" s="48"/>
      <c r="K151" s="48"/>
      <c r="L151" s="48"/>
      <c r="M151" s="48"/>
      <c r="N151" s="48"/>
      <c r="O151" s="48"/>
      <c r="P151" s="48"/>
      <c r="Q151" s="48"/>
    </row>
    <row r="152" spans="2:17" s="46" customFormat="1" ht="15" customHeight="1">
      <c r="B152" s="47"/>
      <c r="C152" s="48"/>
      <c r="D152" s="48"/>
      <c r="E152" s="48"/>
      <c r="F152" s="48"/>
      <c r="G152" s="48"/>
      <c r="H152" s="48"/>
      <c r="I152" s="48"/>
      <c r="J152" s="48"/>
      <c r="K152" s="48"/>
      <c r="L152" s="48"/>
      <c r="M152" s="48"/>
      <c r="N152" s="48"/>
      <c r="O152" s="48"/>
      <c r="P152" s="48"/>
      <c r="Q152" s="48"/>
    </row>
    <row r="153" spans="2:17" s="46" customFormat="1" ht="15" customHeight="1">
      <c r="B153" s="47"/>
      <c r="C153" s="48"/>
      <c r="D153" s="48"/>
      <c r="E153" s="48"/>
      <c r="F153" s="48"/>
      <c r="G153" s="48"/>
      <c r="H153" s="48"/>
      <c r="I153" s="48"/>
      <c r="J153" s="48"/>
      <c r="K153" s="48"/>
      <c r="L153" s="48"/>
      <c r="M153" s="48"/>
      <c r="N153" s="48"/>
      <c r="O153" s="48"/>
      <c r="P153" s="48"/>
      <c r="Q153" s="48"/>
    </row>
    <row r="154" spans="2:17" s="46" customFormat="1" ht="15" customHeight="1">
      <c r="B154" s="47"/>
      <c r="C154" s="48"/>
      <c r="D154" s="48"/>
      <c r="E154" s="48"/>
      <c r="F154" s="48"/>
      <c r="G154" s="48"/>
      <c r="H154" s="48"/>
      <c r="I154" s="48"/>
      <c r="J154" s="48"/>
      <c r="K154" s="48"/>
      <c r="L154" s="48"/>
      <c r="M154" s="48"/>
      <c r="N154" s="48"/>
      <c r="O154" s="48"/>
      <c r="P154" s="48"/>
      <c r="Q154" s="48"/>
    </row>
    <row r="155" spans="2:17" s="46" customFormat="1" ht="15" customHeight="1">
      <c r="B155" s="47"/>
      <c r="C155" s="48"/>
      <c r="D155" s="48"/>
      <c r="E155" s="48"/>
      <c r="F155" s="48"/>
      <c r="G155" s="48"/>
      <c r="H155" s="48"/>
      <c r="I155" s="48"/>
      <c r="J155" s="48"/>
      <c r="K155" s="48"/>
      <c r="L155" s="48"/>
      <c r="M155" s="48"/>
      <c r="N155" s="48"/>
      <c r="O155" s="48"/>
      <c r="P155" s="48"/>
      <c r="Q155" s="48"/>
    </row>
    <row r="156" spans="2:17" s="46" customFormat="1" ht="15" customHeight="1">
      <c r="B156" s="47"/>
      <c r="C156" s="48"/>
      <c r="D156" s="48"/>
      <c r="E156" s="48"/>
      <c r="F156" s="48"/>
      <c r="G156" s="48"/>
      <c r="H156" s="48"/>
      <c r="I156" s="48"/>
      <c r="J156" s="48"/>
      <c r="K156" s="48"/>
      <c r="L156" s="48"/>
      <c r="M156" s="48"/>
      <c r="N156" s="48"/>
      <c r="O156" s="48"/>
      <c r="P156" s="48"/>
      <c r="Q156" s="48"/>
    </row>
    <row r="157" spans="2:17" s="46" customFormat="1" ht="15" customHeight="1">
      <c r="B157" s="47"/>
      <c r="C157" s="48"/>
      <c r="D157" s="48"/>
      <c r="E157" s="48"/>
      <c r="F157" s="48"/>
      <c r="G157" s="48"/>
      <c r="H157" s="48"/>
      <c r="I157" s="48"/>
      <c r="J157" s="48"/>
      <c r="K157" s="48"/>
      <c r="L157" s="48"/>
      <c r="M157" s="48"/>
      <c r="N157" s="48"/>
      <c r="O157" s="48"/>
      <c r="P157" s="48"/>
      <c r="Q157" s="48"/>
    </row>
    <row r="158" spans="2:17" s="46" customFormat="1" ht="15" customHeight="1">
      <c r="B158" s="47"/>
      <c r="C158" s="48"/>
      <c r="D158" s="48"/>
      <c r="E158" s="48"/>
      <c r="F158" s="48"/>
      <c r="G158" s="48"/>
      <c r="H158" s="48"/>
      <c r="I158" s="48"/>
      <c r="J158" s="48"/>
      <c r="K158" s="48"/>
      <c r="L158" s="48"/>
      <c r="M158" s="48"/>
      <c r="N158" s="48"/>
      <c r="O158" s="48"/>
      <c r="P158" s="48"/>
      <c r="Q158" s="48"/>
    </row>
    <row r="159" spans="2:17" s="46" customFormat="1" ht="15" customHeight="1">
      <c r="B159" s="47"/>
      <c r="C159" s="48"/>
      <c r="D159" s="48"/>
      <c r="E159" s="48"/>
      <c r="F159" s="48"/>
      <c r="G159" s="48"/>
      <c r="H159" s="48"/>
      <c r="I159" s="48"/>
      <c r="J159" s="48"/>
      <c r="K159" s="48"/>
      <c r="L159" s="48"/>
      <c r="M159" s="48"/>
      <c r="N159" s="48"/>
      <c r="O159" s="48"/>
      <c r="P159" s="48"/>
      <c r="Q159" s="48"/>
    </row>
    <row r="160" spans="2:17" s="46" customFormat="1" ht="15" customHeight="1">
      <c r="B160" s="47"/>
      <c r="C160" s="48"/>
      <c r="D160" s="48"/>
      <c r="E160" s="48"/>
      <c r="F160" s="48"/>
      <c r="G160" s="48"/>
      <c r="H160" s="48"/>
      <c r="I160" s="48"/>
      <c r="J160" s="48"/>
      <c r="K160" s="48"/>
      <c r="L160" s="48"/>
      <c r="M160" s="48"/>
      <c r="N160" s="48"/>
      <c r="O160" s="48"/>
      <c r="P160" s="48"/>
      <c r="Q160" s="48"/>
    </row>
    <row r="161" spans="2:17" s="46" customFormat="1" ht="15" customHeight="1">
      <c r="B161" s="47"/>
      <c r="C161" s="48"/>
      <c r="D161" s="48"/>
      <c r="E161" s="48"/>
      <c r="F161" s="48"/>
      <c r="G161" s="48"/>
      <c r="H161" s="48"/>
      <c r="I161" s="48"/>
      <c r="J161" s="48"/>
      <c r="K161" s="48"/>
      <c r="L161" s="48"/>
      <c r="M161" s="48"/>
      <c r="N161" s="48"/>
      <c r="O161" s="48"/>
      <c r="P161" s="48"/>
      <c r="Q161" s="48"/>
    </row>
    <row r="162" spans="2:17" s="46" customFormat="1" ht="15" customHeight="1">
      <c r="B162" s="47"/>
      <c r="C162" s="48"/>
      <c r="D162" s="48"/>
      <c r="E162" s="48"/>
      <c r="F162" s="48"/>
      <c r="G162" s="48"/>
      <c r="H162" s="48"/>
      <c r="I162" s="48"/>
      <c r="J162" s="48"/>
      <c r="K162" s="48"/>
      <c r="L162" s="48"/>
      <c r="M162" s="48"/>
      <c r="N162" s="48"/>
      <c r="O162" s="48"/>
      <c r="P162" s="48"/>
      <c r="Q162" s="48"/>
    </row>
    <row r="163" spans="2:17" s="46" customFormat="1" ht="15" customHeight="1">
      <c r="B163" s="47"/>
      <c r="C163" s="48"/>
      <c r="D163" s="48"/>
      <c r="E163" s="48"/>
      <c r="F163" s="48"/>
      <c r="G163" s="48"/>
      <c r="H163" s="48"/>
      <c r="I163" s="48"/>
      <c r="J163" s="48"/>
      <c r="K163" s="48"/>
      <c r="L163" s="48"/>
      <c r="M163" s="48"/>
      <c r="N163" s="48"/>
      <c r="O163" s="48"/>
      <c r="P163" s="48"/>
      <c r="Q163" s="48"/>
    </row>
    <row r="164" spans="2:17" s="46" customFormat="1" ht="15" customHeight="1">
      <c r="B164" s="47"/>
      <c r="C164" s="48"/>
      <c r="D164" s="48"/>
      <c r="E164" s="48"/>
      <c r="F164" s="48"/>
      <c r="G164" s="48"/>
      <c r="H164" s="48"/>
      <c r="I164" s="48"/>
      <c r="J164" s="48"/>
      <c r="K164" s="48"/>
      <c r="L164" s="48"/>
      <c r="M164" s="48"/>
      <c r="N164" s="48"/>
      <c r="O164" s="48"/>
      <c r="P164" s="48"/>
      <c r="Q164" s="48"/>
    </row>
    <row r="165" spans="2:17" s="46" customFormat="1" ht="15" customHeight="1">
      <c r="B165" s="47"/>
      <c r="C165" s="48"/>
      <c r="D165" s="48"/>
      <c r="E165" s="48"/>
      <c r="F165" s="48"/>
      <c r="G165" s="48"/>
      <c r="H165" s="48"/>
      <c r="I165" s="48"/>
      <c r="J165" s="48"/>
      <c r="K165" s="48"/>
      <c r="L165" s="48"/>
      <c r="M165" s="48"/>
      <c r="N165" s="48"/>
      <c r="O165" s="48"/>
      <c r="P165" s="48"/>
      <c r="Q165" s="48"/>
    </row>
    <row r="166" spans="2:17" s="46" customFormat="1" ht="15" customHeight="1">
      <c r="B166" s="47"/>
      <c r="C166" s="48"/>
      <c r="D166" s="48"/>
      <c r="E166" s="48"/>
      <c r="F166" s="48"/>
      <c r="G166" s="48"/>
      <c r="H166" s="48"/>
      <c r="I166" s="48"/>
      <c r="J166" s="48"/>
      <c r="K166" s="48"/>
      <c r="L166" s="48"/>
      <c r="M166" s="48"/>
      <c r="N166" s="48"/>
      <c r="O166" s="48"/>
      <c r="P166" s="48"/>
      <c r="Q166" s="48"/>
    </row>
    <row r="167" spans="2:17" s="46" customFormat="1" ht="15" customHeight="1">
      <c r="B167" s="47"/>
      <c r="C167" s="48"/>
      <c r="D167" s="48"/>
      <c r="E167" s="48"/>
      <c r="F167" s="48"/>
      <c r="G167" s="48"/>
      <c r="H167" s="48"/>
      <c r="I167" s="48"/>
      <c r="J167" s="48"/>
      <c r="K167" s="48"/>
      <c r="L167" s="48"/>
      <c r="M167" s="48"/>
      <c r="N167" s="48"/>
      <c r="O167" s="48"/>
      <c r="P167" s="48"/>
      <c r="Q167" s="48"/>
    </row>
    <row r="168" spans="2:17" s="46" customFormat="1" ht="15" customHeight="1">
      <c r="B168" s="47"/>
      <c r="C168" s="48"/>
      <c r="D168" s="48"/>
      <c r="E168" s="48"/>
      <c r="F168" s="48"/>
      <c r="G168" s="48"/>
      <c r="H168" s="48"/>
      <c r="I168" s="48"/>
      <c r="J168" s="48"/>
      <c r="K168" s="48"/>
      <c r="L168" s="48"/>
      <c r="M168" s="48"/>
      <c r="N168" s="48"/>
      <c r="O168" s="48"/>
      <c r="P168" s="48"/>
      <c r="Q168" s="48"/>
    </row>
    <row r="169" spans="2:17" s="46" customFormat="1" ht="15" customHeight="1">
      <c r="B169" s="47"/>
      <c r="C169" s="48"/>
      <c r="D169" s="48"/>
      <c r="E169" s="48"/>
      <c r="F169" s="48"/>
      <c r="G169" s="48"/>
      <c r="H169" s="48"/>
      <c r="I169" s="48"/>
      <c r="J169" s="48"/>
      <c r="K169" s="48"/>
      <c r="L169" s="48"/>
      <c r="M169" s="48"/>
      <c r="N169" s="48"/>
      <c r="O169" s="48"/>
      <c r="P169" s="48"/>
      <c r="Q169" s="48"/>
    </row>
    <row r="170" spans="2:17" s="46" customFormat="1" ht="15" customHeight="1">
      <c r="B170" s="47"/>
      <c r="C170" s="48"/>
      <c r="D170" s="48"/>
      <c r="E170" s="48"/>
      <c r="F170" s="48"/>
      <c r="G170" s="48"/>
      <c r="H170" s="48"/>
      <c r="I170" s="48"/>
      <c r="J170" s="48"/>
      <c r="K170" s="48"/>
      <c r="L170" s="48"/>
      <c r="M170" s="48"/>
      <c r="N170" s="48"/>
      <c r="O170" s="48"/>
      <c r="P170" s="48"/>
      <c r="Q170" s="48"/>
    </row>
    <row r="171" spans="2:17" s="46" customFormat="1" ht="15" customHeight="1">
      <c r="B171" s="47"/>
      <c r="C171" s="48"/>
      <c r="D171" s="48"/>
      <c r="E171" s="48"/>
      <c r="F171" s="48"/>
      <c r="G171" s="48"/>
      <c r="H171" s="48"/>
      <c r="I171" s="48"/>
      <c r="J171" s="48"/>
      <c r="K171" s="48"/>
      <c r="L171" s="48"/>
      <c r="M171" s="48"/>
      <c r="N171" s="48"/>
      <c r="O171" s="48"/>
      <c r="P171" s="48"/>
      <c r="Q171" s="48"/>
    </row>
    <row r="172" spans="2:17" s="46" customFormat="1" ht="15" customHeight="1">
      <c r="B172" s="47"/>
      <c r="C172" s="48"/>
      <c r="D172" s="48"/>
      <c r="E172" s="48"/>
      <c r="F172" s="48"/>
      <c r="G172" s="48"/>
      <c r="H172" s="48"/>
      <c r="I172" s="48"/>
      <c r="J172" s="48"/>
      <c r="K172" s="48"/>
      <c r="L172" s="48"/>
      <c r="M172" s="48"/>
      <c r="N172" s="48"/>
      <c r="O172" s="48"/>
      <c r="P172" s="48"/>
      <c r="Q172" s="48"/>
    </row>
    <row r="173" spans="2:17" s="46" customFormat="1" ht="15" customHeight="1">
      <c r="B173" s="47"/>
      <c r="C173" s="48"/>
      <c r="D173" s="48"/>
      <c r="E173" s="48"/>
      <c r="F173" s="48"/>
      <c r="G173" s="48"/>
      <c r="H173" s="48"/>
      <c r="I173" s="48"/>
      <c r="J173" s="48"/>
      <c r="K173" s="48"/>
      <c r="L173" s="48"/>
      <c r="M173" s="48"/>
      <c r="N173" s="48"/>
      <c r="O173" s="48"/>
      <c r="P173" s="48"/>
      <c r="Q173" s="48"/>
    </row>
    <row r="174" spans="2:17" s="46" customFormat="1" ht="15" customHeight="1">
      <c r="B174" s="47"/>
      <c r="C174" s="48"/>
      <c r="D174" s="48"/>
      <c r="E174" s="48"/>
      <c r="F174" s="48"/>
      <c r="G174" s="48"/>
      <c r="H174" s="48"/>
      <c r="I174" s="48"/>
      <c r="J174" s="48"/>
      <c r="K174" s="48"/>
      <c r="L174" s="48"/>
      <c r="M174" s="48"/>
      <c r="N174" s="48"/>
      <c r="O174" s="48"/>
      <c r="P174" s="48"/>
      <c r="Q174" s="48"/>
    </row>
    <row r="175" spans="2:17" s="46" customFormat="1" ht="15" customHeight="1">
      <c r="B175" s="47"/>
      <c r="C175" s="48"/>
      <c r="D175" s="48"/>
      <c r="E175" s="48"/>
      <c r="F175" s="48"/>
      <c r="G175" s="48"/>
      <c r="H175" s="48"/>
      <c r="I175" s="48"/>
      <c r="J175" s="48"/>
      <c r="K175" s="48"/>
      <c r="L175" s="48"/>
      <c r="M175" s="48"/>
      <c r="N175" s="48"/>
      <c r="O175" s="48"/>
      <c r="P175" s="48"/>
      <c r="Q175" s="48"/>
    </row>
    <row r="176" spans="2:17" s="46" customFormat="1" ht="15" customHeight="1">
      <c r="B176" s="47"/>
      <c r="C176" s="48"/>
      <c r="D176" s="48"/>
      <c r="E176" s="48"/>
      <c r="F176" s="48"/>
      <c r="G176" s="48"/>
      <c r="H176" s="48"/>
      <c r="I176" s="48"/>
      <c r="J176" s="48"/>
      <c r="K176" s="48"/>
      <c r="L176" s="48"/>
      <c r="M176" s="48"/>
      <c r="N176" s="48"/>
      <c r="O176" s="48"/>
      <c r="P176" s="48"/>
      <c r="Q176" s="48"/>
    </row>
    <row r="177" spans="2:17" s="46" customFormat="1" ht="15" customHeight="1">
      <c r="B177" s="47"/>
      <c r="C177" s="48"/>
      <c r="D177" s="48"/>
      <c r="E177" s="48"/>
      <c r="F177" s="48"/>
      <c r="G177" s="48"/>
      <c r="H177" s="48"/>
      <c r="I177" s="48"/>
      <c r="J177" s="48"/>
      <c r="K177" s="48"/>
      <c r="L177" s="48"/>
      <c r="M177" s="48"/>
      <c r="N177" s="48"/>
      <c r="O177" s="48"/>
      <c r="P177" s="48"/>
      <c r="Q177" s="48"/>
    </row>
    <row r="178" spans="2:17" s="46" customFormat="1" ht="15" customHeight="1">
      <c r="B178" s="47"/>
      <c r="C178" s="48"/>
      <c r="D178" s="48"/>
      <c r="E178" s="48"/>
      <c r="F178" s="48"/>
      <c r="G178" s="48"/>
      <c r="H178" s="48"/>
      <c r="I178" s="48"/>
      <c r="J178" s="48"/>
      <c r="K178" s="48"/>
      <c r="L178" s="48"/>
      <c r="M178" s="48"/>
      <c r="N178" s="48"/>
      <c r="O178" s="48"/>
      <c r="P178" s="48"/>
      <c r="Q178" s="48"/>
    </row>
    <row r="179" spans="2:17" s="46" customFormat="1" ht="15" customHeight="1">
      <c r="B179" s="47"/>
      <c r="C179" s="48"/>
      <c r="D179" s="48"/>
      <c r="E179" s="48"/>
      <c r="F179" s="48"/>
      <c r="G179" s="48"/>
      <c r="H179" s="48"/>
      <c r="I179" s="48"/>
      <c r="J179" s="48"/>
      <c r="K179" s="48"/>
      <c r="L179" s="48"/>
      <c r="M179" s="48"/>
      <c r="N179" s="48"/>
      <c r="O179" s="48"/>
      <c r="P179" s="48"/>
      <c r="Q179" s="48"/>
    </row>
    <row r="180" spans="2:17" s="46" customFormat="1" ht="15" customHeight="1">
      <c r="B180" s="47"/>
      <c r="C180" s="48"/>
      <c r="D180" s="48"/>
      <c r="E180" s="48"/>
      <c r="F180" s="48"/>
      <c r="G180" s="48"/>
      <c r="H180" s="48"/>
      <c r="I180" s="48"/>
      <c r="J180" s="48"/>
      <c r="K180" s="48"/>
      <c r="L180" s="48"/>
      <c r="M180" s="48"/>
      <c r="N180" s="48"/>
      <c r="O180" s="48"/>
      <c r="P180" s="48"/>
      <c r="Q180" s="48"/>
    </row>
    <row r="181" spans="2:17" s="46" customFormat="1" ht="15" customHeight="1">
      <c r="B181" s="47"/>
      <c r="C181" s="48"/>
      <c r="D181" s="48"/>
      <c r="E181" s="48"/>
      <c r="F181" s="48"/>
      <c r="G181" s="48"/>
      <c r="H181" s="48"/>
      <c r="I181" s="48"/>
      <c r="J181" s="48"/>
      <c r="K181" s="48"/>
      <c r="L181" s="48"/>
      <c r="M181" s="48"/>
      <c r="N181" s="48"/>
      <c r="O181" s="48"/>
      <c r="P181" s="48"/>
      <c r="Q181" s="48"/>
    </row>
    <row r="182" spans="2:17" s="46" customFormat="1" ht="15" customHeight="1">
      <c r="B182" s="47"/>
      <c r="C182" s="48"/>
      <c r="D182" s="48"/>
      <c r="E182" s="48"/>
      <c r="F182" s="48"/>
      <c r="G182" s="48"/>
      <c r="H182" s="48"/>
      <c r="I182" s="48"/>
      <c r="J182" s="48"/>
      <c r="K182" s="48"/>
      <c r="L182" s="48"/>
      <c r="M182" s="48"/>
      <c r="N182" s="48"/>
      <c r="O182" s="48"/>
      <c r="P182" s="48"/>
      <c r="Q182" s="48"/>
    </row>
    <row r="183" spans="2:17" s="46" customFormat="1" ht="15" customHeight="1">
      <c r="B183" s="47"/>
      <c r="C183" s="48"/>
      <c r="D183" s="48"/>
      <c r="E183" s="48"/>
      <c r="F183" s="48"/>
      <c r="G183" s="48"/>
      <c r="H183" s="48"/>
      <c r="I183" s="48"/>
      <c r="J183" s="48"/>
      <c r="K183" s="48"/>
      <c r="L183" s="48"/>
      <c r="M183" s="48"/>
      <c r="N183" s="48"/>
      <c r="O183" s="48"/>
      <c r="P183" s="48"/>
      <c r="Q183" s="48"/>
    </row>
    <row r="184" spans="2:17" s="46" customFormat="1" ht="15" customHeight="1">
      <c r="B184" s="47"/>
      <c r="C184" s="48"/>
      <c r="D184" s="48"/>
      <c r="E184" s="48"/>
      <c r="F184" s="48"/>
      <c r="G184" s="48"/>
      <c r="H184" s="48"/>
      <c r="I184" s="48"/>
      <c r="J184" s="48"/>
      <c r="K184" s="48"/>
      <c r="L184" s="48"/>
      <c r="M184" s="48"/>
      <c r="N184" s="48"/>
      <c r="O184" s="48"/>
      <c r="P184" s="48"/>
      <c r="Q184" s="48"/>
    </row>
    <row r="185" spans="2:17" s="46" customFormat="1" ht="15" customHeight="1">
      <c r="B185" s="47"/>
      <c r="C185" s="48"/>
      <c r="D185" s="48"/>
      <c r="E185" s="48"/>
      <c r="F185" s="48"/>
      <c r="G185" s="48"/>
      <c r="H185" s="48"/>
      <c r="I185" s="48"/>
      <c r="J185" s="48"/>
      <c r="K185" s="48"/>
      <c r="L185" s="48"/>
      <c r="M185" s="48"/>
      <c r="N185" s="48"/>
      <c r="O185" s="48"/>
      <c r="P185" s="48"/>
      <c r="Q185" s="48"/>
    </row>
    <row r="186" spans="2:17" s="46" customFormat="1" ht="15" customHeight="1">
      <c r="B186" s="47"/>
      <c r="C186" s="48"/>
      <c r="D186" s="48"/>
      <c r="E186" s="48"/>
      <c r="F186" s="48"/>
      <c r="G186" s="48"/>
      <c r="H186" s="48"/>
      <c r="I186" s="48"/>
      <c r="J186" s="48"/>
      <c r="K186" s="48"/>
      <c r="L186" s="48"/>
      <c r="M186" s="48"/>
      <c r="N186" s="48"/>
      <c r="O186" s="48"/>
      <c r="P186" s="48"/>
      <c r="Q186" s="48"/>
    </row>
    <row r="187" spans="2:17" s="46" customFormat="1" ht="15" customHeight="1">
      <c r="B187" s="47"/>
      <c r="C187" s="48"/>
      <c r="D187" s="48"/>
      <c r="E187" s="48"/>
      <c r="F187" s="48"/>
      <c r="G187" s="48"/>
      <c r="H187" s="48"/>
      <c r="I187" s="48"/>
      <c r="J187" s="48"/>
      <c r="K187" s="48"/>
      <c r="L187" s="48"/>
      <c r="M187" s="48"/>
      <c r="N187" s="48"/>
      <c r="O187" s="48"/>
      <c r="P187" s="48"/>
      <c r="Q187" s="48"/>
    </row>
    <row r="188" spans="2:17" s="46" customFormat="1" ht="15" customHeight="1">
      <c r="B188" s="47"/>
      <c r="C188" s="48"/>
      <c r="D188" s="48"/>
      <c r="E188" s="48"/>
      <c r="F188" s="48"/>
      <c r="G188" s="48"/>
      <c r="H188" s="48"/>
      <c r="I188" s="48"/>
      <c r="J188" s="48"/>
      <c r="K188" s="48"/>
      <c r="L188" s="48"/>
      <c r="M188" s="48"/>
      <c r="N188" s="48"/>
      <c r="O188" s="48"/>
      <c r="P188" s="48"/>
      <c r="Q188" s="48"/>
    </row>
    <row r="189" spans="2:17" s="46" customFormat="1" ht="15" customHeight="1">
      <c r="B189" s="47"/>
      <c r="C189" s="48"/>
      <c r="D189" s="48"/>
      <c r="E189" s="48"/>
      <c r="F189" s="48"/>
      <c r="G189" s="48"/>
      <c r="H189" s="48"/>
      <c r="I189" s="48"/>
      <c r="J189" s="48"/>
      <c r="K189" s="48"/>
      <c r="L189" s="48"/>
      <c r="M189" s="48"/>
      <c r="N189" s="48"/>
      <c r="O189" s="48"/>
      <c r="P189" s="48"/>
      <c r="Q189" s="48"/>
    </row>
    <row r="190" spans="2:17" s="46" customFormat="1" ht="15" customHeight="1">
      <c r="B190" s="47"/>
      <c r="C190" s="48"/>
      <c r="D190" s="48"/>
      <c r="E190" s="48"/>
      <c r="F190" s="48"/>
      <c r="G190" s="48"/>
      <c r="H190" s="48"/>
      <c r="I190" s="48"/>
      <c r="J190" s="48"/>
      <c r="K190" s="48"/>
      <c r="L190" s="48"/>
      <c r="M190" s="48"/>
      <c r="N190" s="48"/>
      <c r="O190" s="48"/>
      <c r="P190" s="48"/>
      <c r="Q190" s="48"/>
    </row>
    <row r="191" spans="2:17" s="46" customFormat="1" ht="15" customHeight="1">
      <c r="B191" s="47"/>
      <c r="C191" s="48"/>
      <c r="D191" s="48"/>
      <c r="E191" s="48"/>
      <c r="F191" s="48"/>
      <c r="G191" s="48"/>
      <c r="H191" s="48"/>
      <c r="I191" s="48"/>
      <c r="J191" s="48"/>
      <c r="K191" s="48"/>
      <c r="L191" s="48"/>
      <c r="M191" s="48"/>
      <c r="N191" s="48"/>
      <c r="O191" s="48"/>
      <c r="P191" s="48"/>
      <c r="Q191" s="48"/>
    </row>
    <row r="192" spans="2:17" s="46" customFormat="1" ht="15" customHeight="1">
      <c r="B192" s="47"/>
      <c r="C192" s="48"/>
      <c r="D192" s="48"/>
      <c r="E192" s="48"/>
      <c r="F192" s="48"/>
      <c r="G192" s="48"/>
      <c r="H192" s="48"/>
      <c r="I192" s="48"/>
      <c r="J192" s="48"/>
      <c r="K192" s="48"/>
      <c r="L192" s="48"/>
      <c r="M192" s="48"/>
      <c r="N192" s="48"/>
      <c r="O192" s="48"/>
      <c r="P192" s="48"/>
      <c r="Q192" s="48"/>
    </row>
    <row r="193" spans="2:17" s="46" customFormat="1" ht="15" customHeight="1">
      <c r="B193" s="47"/>
      <c r="C193" s="48"/>
      <c r="D193" s="48"/>
      <c r="E193" s="48"/>
      <c r="F193" s="48"/>
      <c r="G193" s="48"/>
      <c r="H193" s="48"/>
      <c r="I193" s="48"/>
      <c r="J193" s="48"/>
      <c r="K193" s="48"/>
      <c r="L193" s="48"/>
      <c r="M193" s="48"/>
      <c r="N193" s="48"/>
      <c r="O193" s="48"/>
      <c r="P193" s="48"/>
      <c r="Q193" s="48"/>
    </row>
    <row r="194" spans="2:17" s="46" customFormat="1" ht="15" customHeight="1">
      <c r="B194" s="47"/>
      <c r="C194" s="48"/>
      <c r="D194" s="48"/>
      <c r="E194" s="48"/>
      <c r="F194" s="48"/>
      <c r="G194" s="48"/>
      <c r="H194" s="48"/>
      <c r="I194" s="48"/>
      <c r="J194" s="48"/>
      <c r="K194" s="48"/>
      <c r="L194" s="48"/>
      <c r="M194" s="48"/>
      <c r="N194" s="48"/>
      <c r="O194" s="48"/>
      <c r="P194" s="48"/>
      <c r="Q194" s="48"/>
    </row>
    <row r="195" spans="2:17" s="46" customFormat="1" ht="15" customHeight="1">
      <c r="B195" s="47"/>
      <c r="C195" s="48"/>
      <c r="D195" s="48"/>
      <c r="E195" s="48"/>
      <c r="F195" s="48"/>
      <c r="G195" s="48"/>
      <c r="H195" s="48"/>
      <c r="I195" s="48"/>
      <c r="J195" s="48"/>
      <c r="K195" s="48"/>
      <c r="L195" s="48"/>
      <c r="M195" s="48"/>
      <c r="N195" s="48"/>
      <c r="O195" s="48"/>
      <c r="P195" s="48"/>
      <c r="Q195" s="48"/>
    </row>
    <row r="196" spans="2:17" s="46" customFormat="1" ht="15" customHeight="1">
      <c r="B196" s="47"/>
      <c r="C196" s="48"/>
      <c r="D196" s="48"/>
      <c r="E196" s="48"/>
      <c r="F196" s="48"/>
      <c r="G196" s="48"/>
      <c r="H196" s="48"/>
      <c r="I196" s="48"/>
      <c r="J196" s="48"/>
      <c r="K196" s="48"/>
      <c r="L196" s="48"/>
      <c r="M196" s="48"/>
      <c r="N196" s="48"/>
      <c r="O196" s="48"/>
      <c r="P196" s="48"/>
      <c r="Q196" s="48"/>
    </row>
    <row r="197" spans="2:17" s="46" customFormat="1" ht="15" customHeight="1">
      <c r="B197" s="47"/>
      <c r="C197" s="48"/>
      <c r="D197" s="48"/>
      <c r="E197" s="48"/>
      <c r="F197" s="48"/>
      <c r="G197" s="48"/>
      <c r="H197" s="48"/>
      <c r="I197" s="48"/>
      <c r="J197" s="48"/>
      <c r="K197" s="48"/>
      <c r="L197" s="48"/>
      <c r="M197" s="48"/>
      <c r="N197" s="48"/>
      <c r="O197" s="48"/>
      <c r="P197" s="48"/>
      <c r="Q197" s="48"/>
    </row>
    <row r="198" spans="2:17" s="46" customFormat="1" ht="15" customHeight="1">
      <c r="B198" s="47"/>
      <c r="C198" s="48"/>
      <c r="D198" s="48"/>
      <c r="E198" s="48"/>
      <c r="F198" s="48"/>
      <c r="G198" s="48"/>
      <c r="H198" s="48"/>
      <c r="I198" s="48"/>
      <c r="J198" s="48"/>
      <c r="K198" s="48"/>
      <c r="L198" s="48"/>
      <c r="M198" s="48"/>
      <c r="N198" s="48"/>
      <c r="O198" s="48"/>
      <c r="P198" s="48"/>
      <c r="Q198" s="48"/>
    </row>
    <row r="199" spans="2:17" s="46" customFormat="1" ht="15" customHeight="1">
      <c r="B199" s="47"/>
      <c r="C199" s="48"/>
      <c r="D199" s="48"/>
      <c r="E199" s="48"/>
      <c r="F199" s="48"/>
      <c r="G199" s="48"/>
      <c r="H199" s="48"/>
      <c r="I199" s="48"/>
      <c r="J199" s="48"/>
      <c r="K199" s="48"/>
      <c r="L199" s="48"/>
      <c r="M199" s="48"/>
      <c r="N199" s="48"/>
      <c r="O199" s="48"/>
      <c r="P199" s="48"/>
      <c r="Q199" s="48"/>
    </row>
    <row r="200" spans="2:17" s="46" customFormat="1" ht="15" customHeight="1">
      <c r="B200" s="47"/>
      <c r="C200" s="48"/>
      <c r="D200" s="48"/>
      <c r="E200" s="48"/>
      <c r="F200" s="48"/>
      <c r="G200" s="48"/>
      <c r="H200" s="48"/>
      <c r="I200" s="48"/>
      <c r="J200" s="48"/>
      <c r="K200" s="48"/>
      <c r="L200" s="48"/>
      <c r="M200" s="48"/>
      <c r="N200" s="48"/>
      <c r="O200" s="48"/>
      <c r="P200" s="48"/>
      <c r="Q200" s="48"/>
    </row>
    <row r="201" spans="2:17" s="46" customFormat="1" ht="15" customHeight="1">
      <c r="B201" s="47"/>
      <c r="C201" s="48"/>
      <c r="D201" s="48"/>
      <c r="E201" s="48"/>
      <c r="F201" s="48"/>
      <c r="G201" s="48"/>
      <c r="H201" s="48"/>
      <c r="I201" s="48"/>
      <c r="J201" s="48"/>
      <c r="K201" s="48"/>
      <c r="L201" s="48"/>
      <c r="M201" s="48"/>
      <c r="N201" s="48"/>
      <c r="O201" s="48"/>
      <c r="P201" s="48"/>
      <c r="Q201" s="48"/>
    </row>
    <row r="202" spans="2:17" s="46" customFormat="1" ht="15" customHeight="1">
      <c r="B202" s="47"/>
      <c r="C202" s="48"/>
      <c r="D202" s="48"/>
      <c r="E202" s="48"/>
      <c r="F202" s="48"/>
      <c r="G202" s="48"/>
      <c r="H202" s="48"/>
      <c r="I202" s="48"/>
      <c r="J202" s="48"/>
      <c r="K202" s="48"/>
      <c r="L202" s="48"/>
      <c r="M202" s="48"/>
      <c r="N202" s="48"/>
      <c r="O202" s="48"/>
      <c r="P202" s="48"/>
      <c r="Q202" s="48"/>
    </row>
    <row r="203" spans="2:17" s="46" customFormat="1" ht="15" customHeight="1">
      <c r="B203" s="47"/>
      <c r="C203" s="48"/>
      <c r="D203" s="48"/>
      <c r="E203" s="48"/>
      <c r="F203" s="48"/>
      <c r="G203" s="48"/>
      <c r="H203" s="48"/>
      <c r="I203" s="48"/>
      <c r="J203" s="48"/>
      <c r="K203" s="48"/>
      <c r="L203" s="48"/>
      <c r="M203" s="48"/>
      <c r="N203" s="48"/>
      <c r="O203" s="48"/>
      <c r="P203" s="48"/>
      <c r="Q203" s="48"/>
    </row>
    <row r="204" spans="2:17" s="46" customFormat="1" ht="15" customHeight="1">
      <c r="B204" s="47"/>
      <c r="C204" s="48"/>
      <c r="D204" s="48"/>
      <c r="E204" s="48"/>
      <c r="F204" s="48"/>
      <c r="G204" s="48"/>
      <c r="H204" s="48"/>
      <c r="I204" s="48"/>
      <c r="J204" s="48"/>
      <c r="K204" s="48"/>
      <c r="L204" s="48"/>
      <c r="M204" s="48"/>
      <c r="N204" s="48"/>
      <c r="O204" s="48"/>
      <c r="P204" s="48"/>
      <c r="Q204" s="48"/>
    </row>
    <row r="205" spans="2:17" s="46" customFormat="1" ht="15" customHeight="1">
      <c r="B205" s="47"/>
      <c r="C205" s="48"/>
      <c r="D205" s="48"/>
      <c r="E205" s="48"/>
      <c r="F205" s="48"/>
      <c r="G205" s="48"/>
      <c r="H205" s="48"/>
      <c r="I205" s="48"/>
      <c r="J205" s="48"/>
      <c r="K205" s="48"/>
      <c r="L205" s="48"/>
      <c r="M205" s="48"/>
      <c r="N205" s="48"/>
      <c r="O205" s="48"/>
      <c r="P205" s="48"/>
      <c r="Q205" s="48"/>
    </row>
    <row r="206" spans="2:17" s="46" customFormat="1" ht="15" customHeight="1">
      <c r="B206" s="47"/>
      <c r="C206" s="48"/>
      <c r="D206" s="48"/>
      <c r="E206" s="48"/>
      <c r="F206" s="48"/>
      <c r="G206" s="48"/>
      <c r="H206" s="48"/>
      <c r="I206" s="48"/>
      <c r="J206" s="48"/>
      <c r="K206" s="48"/>
      <c r="L206" s="48"/>
      <c r="M206" s="48"/>
      <c r="N206" s="48"/>
      <c r="O206" s="48"/>
      <c r="P206" s="48"/>
      <c r="Q206" s="48"/>
    </row>
    <row r="207" spans="2:17" s="46" customFormat="1" ht="15" customHeight="1">
      <c r="B207" s="47"/>
      <c r="C207" s="48"/>
      <c r="D207" s="48"/>
      <c r="E207" s="48"/>
      <c r="F207" s="48"/>
      <c r="G207" s="48"/>
      <c r="H207" s="48"/>
      <c r="I207" s="48"/>
      <c r="J207" s="48"/>
      <c r="K207" s="48"/>
      <c r="L207" s="48"/>
      <c r="M207" s="48"/>
      <c r="N207" s="48"/>
      <c r="O207" s="48"/>
      <c r="P207" s="48"/>
      <c r="Q207" s="48"/>
    </row>
    <row r="208" spans="2:17" s="46" customFormat="1" ht="15" customHeight="1">
      <c r="B208" s="47"/>
      <c r="C208" s="48"/>
      <c r="D208" s="48"/>
      <c r="E208" s="48"/>
      <c r="F208" s="48"/>
      <c r="G208" s="48"/>
      <c r="H208" s="48"/>
      <c r="I208" s="48"/>
      <c r="J208" s="48"/>
      <c r="K208" s="48"/>
      <c r="L208" s="48"/>
      <c r="M208" s="48"/>
      <c r="N208" s="48"/>
      <c r="O208" s="48"/>
      <c r="P208" s="48"/>
      <c r="Q208" s="48"/>
    </row>
    <row r="209" spans="2:17" s="46" customFormat="1" ht="15" customHeight="1">
      <c r="B209" s="47"/>
      <c r="C209" s="48"/>
      <c r="D209" s="48"/>
      <c r="E209" s="48"/>
      <c r="F209" s="48"/>
      <c r="G209" s="48"/>
      <c r="H209" s="48"/>
      <c r="I209" s="48"/>
      <c r="J209" s="48"/>
      <c r="K209" s="48"/>
      <c r="L209" s="48"/>
      <c r="M209" s="48"/>
      <c r="N209" s="48"/>
      <c r="O209" s="48"/>
      <c r="P209" s="48"/>
      <c r="Q209" s="48"/>
    </row>
    <row r="210" spans="2:17" s="46" customFormat="1" ht="15" customHeight="1">
      <c r="B210" s="47"/>
      <c r="C210" s="48"/>
      <c r="D210" s="48"/>
      <c r="E210" s="48"/>
      <c r="F210" s="48"/>
      <c r="G210" s="48"/>
      <c r="H210" s="48"/>
      <c r="I210" s="48"/>
      <c r="J210" s="48"/>
      <c r="K210" s="48"/>
      <c r="L210" s="48"/>
      <c r="M210" s="48"/>
      <c r="N210" s="48"/>
      <c r="O210" s="48"/>
      <c r="P210" s="48"/>
      <c r="Q210" s="48"/>
    </row>
    <row r="211" spans="2:17" s="46" customFormat="1" ht="15" customHeight="1">
      <c r="B211" s="47"/>
      <c r="C211" s="48"/>
      <c r="D211" s="48"/>
      <c r="E211" s="48"/>
      <c r="F211" s="48"/>
      <c r="G211" s="48"/>
      <c r="H211" s="48"/>
      <c r="I211" s="48"/>
      <c r="J211" s="48"/>
      <c r="K211" s="48"/>
      <c r="L211" s="48"/>
      <c r="M211" s="48"/>
      <c r="N211" s="48"/>
      <c r="O211" s="48"/>
      <c r="P211" s="48"/>
      <c r="Q211" s="48"/>
    </row>
    <row r="212" spans="2:17" s="46" customFormat="1" ht="15" customHeight="1">
      <c r="B212" s="47"/>
      <c r="C212" s="48"/>
      <c r="D212" s="48"/>
      <c r="E212" s="48"/>
      <c r="F212" s="48"/>
      <c r="G212" s="48"/>
      <c r="H212" s="48"/>
      <c r="I212" s="48"/>
      <c r="J212" s="48"/>
      <c r="K212" s="48"/>
      <c r="L212" s="48"/>
      <c r="M212" s="48"/>
      <c r="N212" s="48"/>
      <c r="O212" s="48"/>
      <c r="P212" s="48"/>
      <c r="Q212" s="48"/>
    </row>
    <row r="213" spans="2:17" s="46" customFormat="1" ht="15" customHeight="1">
      <c r="B213" s="47"/>
      <c r="C213" s="48"/>
      <c r="D213" s="48"/>
      <c r="E213" s="48"/>
      <c r="F213" s="48"/>
      <c r="G213" s="48"/>
      <c r="H213" s="48"/>
      <c r="I213" s="48"/>
      <c r="J213" s="48"/>
      <c r="K213" s="48"/>
      <c r="L213" s="48"/>
      <c r="M213" s="48"/>
      <c r="N213" s="48"/>
      <c r="O213" s="48"/>
      <c r="P213" s="48"/>
      <c r="Q213" s="48"/>
    </row>
    <row r="214" spans="2:17" s="46" customFormat="1" ht="15" customHeight="1">
      <c r="B214" s="47"/>
      <c r="C214" s="48"/>
      <c r="D214" s="48"/>
      <c r="E214" s="48"/>
      <c r="F214" s="48"/>
      <c r="G214" s="48"/>
      <c r="H214" s="48"/>
      <c r="I214" s="48"/>
      <c r="J214" s="48"/>
      <c r="K214" s="48"/>
      <c r="L214" s="48"/>
      <c r="M214" s="48"/>
      <c r="N214" s="48"/>
      <c r="O214" s="48"/>
      <c r="P214" s="48"/>
      <c r="Q214" s="48"/>
    </row>
    <row r="215" spans="2:17" s="46" customFormat="1" ht="15" customHeight="1">
      <c r="B215" s="47"/>
      <c r="C215" s="48"/>
      <c r="D215" s="48"/>
      <c r="E215" s="48"/>
      <c r="F215" s="48"/>
      <c r="G215" s="48"/>
      <c r="H215" s="48"/>
      <c r="I215" s="48"/>
      <c r="J215" s="48"/>
      <c r="K215" s="48"/>
      <c r="L215" s="48"/>
      <c r="M215" s="48"/>
      <c r="N215" s="48"/>
      <c r="O215" s="48"/>
      <c r="P215" s="48"/>
      <c r="Q215" s="48"/>
    </row>
    <row r="216" spans="2:17" s="46" customFormat="1" ht="15" customHeight="1">
      <c r="B216" s="47"/>
      <c r="C216" s="48"/>
      <c r="D216" s="48"/>
      <c r="E216" s="48"/>
      <c r="F216" s="48"/>
      <c r="G216" s="48"/>
      <c r="H216" s="48"/>
      <c r="I216" s="48"/>
      <c r="J216" s="48"/>
      <c r="K216" s="48"/>
      <c r="L216" s="48"/>
      <c r="M216" s="48"/>
      <c r="N216" s="48"/>
      <c r="O216" s="48"/>
      <c r="P216" s="48"/>
      <c r="Q216" s="48"/>
    </row>
    <row r="217" spans="2:17" s="46" customFormat="1" ht="15" customHeight="1">
      <c r="B217" s="47"/>
      <c r="C217" s="48"/>
      <c r="D217" s="48"/>
      <c r="E217" s="48"/>
      <c r="F217" s="48"/>
      <c r="G217" s="48"/>
      <c r="H217" s="48"/>
      <c r="I217" s="48"/>
      <c r="J217" s="48"/>
      <c r="K217" s="48"/>
      <c r="L217" s="48"/>
      <c r="M217" s="48"/>
      <c r="N217" s="48"/>
      <c r="O217" s="48"/>
      <c r="P217" s="48"/>
      <c r="Q217" s="48"/>
    </row>
    <row r="218" spans="2:17" s="46" customFormat="1" ht="15" customHeight="1">
      <c r="B218" s="47"/>
      <c r="C218" s="48"/>
      <c r="D218" s="48"/>
      <c r="E218" s="48"/>
      <c r="F218" s="48"/>
      <c r="G218" s="48"/>
      <c r="H218" s="48"/>
      <c r="I218" s="48"/>
      <c r="J218" s="48"/>
      <c r="K218" s="48"/>
      <c r="L218" s="48"/>
      <c r="M218" s="48"/>
      <c r="N218" s="48"/>
      <c r="O218" s="48"/>
      <c r="P218" s="48"/>
      <c r="Q218" s="48"/>
    </row>
    <row r="219" spans="2:17" s="46" customFormat="1" ht="15" customHeight="1">
      <c r="B219" s="47"/>
      <c r="C219" s="48"/>
      <c r="D219" s="48"/>
      <c r="E219" s="48"/>
      <c r="F219" s="48"/>
      <c r="G219" s="48"/>
      <c r="H219" s="48"/>
      <c r="I219" s="48"/>
      <c r="J219" s="48"/>
      <c r="K219" s="48"/>
      <c r="L219" s="48"/>
      <c r="M219" s="48"/>
      <c r="N219" s="48"/>
      <c r="O219" s="48"/>
      <c r="P219" s="48"/>
      <c r="Q219" s="48"/>
    </row>
    <row r="220" spans="2:17" s="46" customFormat="1" ht="15" customHeight="1">
      <c r="B220" s="47"/>
      <c r="C220" s="48"/>
      <c r="D220" s="48"/>
      <c r="E220" s="48"/>
      <c r="F220" s="48"/>
      <c r="G220" s="48"/>
      <c r="H220" s="48"/>
      <c r="I220" s="48"/>
      <c r="J220" s="48"/>
      <c r="K220" s="48"/>
      <c r="L220" s="48"/>
      <c r="M220" s="48"/>
      <c r="N220" s="48"/>
      <c r="O220" s="48"/>
      <c r="P220" s="48"/>
      <c r="Q220" s="48"/>
    </row>
    <row r="221" spans="2:17" s="46" customFormat="1" ht="15" customHeight="1">
      <c r="B221" s="47"/>
      <c r="C221" s="48"/>
      <c r="D221" s="48"/>
      <c r="E221" s="48"/>
      <c r="F221" s="48"/>
      <c r="G221" s="48"/>
      <c r="H221" s="48"/>
      <c r="I221" s="48"/>
      <c r="J221" s="48"/>
      <c r="K221" s="48"/>
      <c r="L221" s="48"/>
      <c r="M221" s="48"/>
      <c r="N221" s="48"/>
      <c r="O221" s="48"/>
      <c r="P221" s="48"/>
      <c r="Q221" s="48"/>
    </row>
    <row r="222" spans="2:17" s="46" customFormat="1" ht="15" customHeight="1">
      <c r="B222" s="47"/>
      <c r="C222" s="48"/>
      <c r="D222" s="48"/>
      <c r="E222" s="48"/>
      <c r="F222" s="48"/>
      <c r="G222" s="48"/>
      <c r="H222" s="48"/>
      <c r="I222" s="48"/>
      <c r="J222" s="48"/>
      <c r="K222" s="48"/>
      <c r="L222" s="48"/>
      <c r="M222" s="48"/>
      <c r="N222" s="48"/>
      <c r="O222" s="48"/>
      <c r="P222" s="48"/>
      <c r="Q222" s="48"/>
    </row>
    <row r="223" spans="2:17" s="46" customFormat="1" ht="15" customHeight="1">
      <c r="B223" s="47"/>
      <c r="C223" s="48"/>
      <c r="D223" s="48"/>
      <c r="E223" s="48"/>
      <c r="F223" s="48"/>
      <c r="G223" s="48"/>
      <c r="H223" s="48"/>
      <c r="I223" s="48"/>
      <c r="J223" s="48"/>
      <c r="K223" s="48"/>
      <c r="L223" s="48"/>
      <c r="M223" s="48"/>
      <c r="N223" s="48"/>
      <c r="O223" s="48"/>
      <c r="P223" s="48"/>
      <c r="Q223" s="48"/>
    </row>
    <row r="224" spans="2:17" s="46" customFormat="1" ht="15" customHeight="1">
      <c r="B224" s="47"/>
      <c r="C224" s="48"/>
      <c r="D224" s="48"/>
      <c r="E224" s="48"/>
      <c r="F224" s="48"/>
      <c r="G224" s="48"/>
      <c r="H224" s="48"/>
      <c r="I224" s="48"/>
      <c r="J224" s="48"/>
      <c r="K224" s="48"/>
      <c r="L224" s="48"/>
      <c r="M224" s="48"/>
      <c r="N224" s="48"/>
      <c r="O224" s="48"/>
      <c r="P224" s="48"/>
      <c r="Q224" s="48"/>
    </row>
    <row r="225" spans="2:17" s="46" customFormat="1" ht="15" customHeight="1">
      <c r="B225" s="47"/>
      <c r="C225" s="48"/>
      <c r="D225" s="48"/>
      <c r="E225" s="48"/>
      <c r="F225" s="48"/>
      <c r="G225" s="48"/>
      <c r="H225" s="48"/>
      <c r="I225" s="48"/>
      <c r="J225" s="48"/>
      <c r="K225" s="48"/>
      <c r="L225" s="48"/>
      <c r="M225" s="48"/>
      <c r="N225" s="48"/>
      <c r="O225" s="48"/>
      <c r="P225" s="48"/>
      <c r="Q225" s="48"/>
    </row>
    <row r="226" spans="2:17" s="46" customFormat="1" ht="15" customHeight="1">
      <c r="B226" s="47"/>
      <c r="C226" s="48"/>
      <c r="D226" s="48"/>
      <c r="E226" s="48"/>
      <c r="F226" s="48"/>
      <c r="G226" s="48"/>
      <c r="H226" s="48"/>
      <c r="I226" s="48"/>
      <c r="J226" s="48"/>
      <c r="K226" s="48"/>
      <c r="L226" s="48"/>
      <c r="M226" s="48"/>
      <c r="N226" s="48"/>
      <c r="O226" s="48"/>
      <c r="P226" s="48"/>
      <c r="Q226" s="48"/>
    </row>
    <row r="227" spans="2:17" s="46" customFormat="1" ht="15" customHeight="1">
      <c r="B227" s="47"/>
      <c r="C227" s="48"/>
      <c r="D227" s="48"/>
      <c r="E227" s="48"/>
      <c r="F227" s="48"/>
      <c r="G227" s="48"/>
      <c r="H227" s="48"/>
      <c r="I227" s="48"/>
      <c r="J227" s="48"/>
      <c r="K227" s="48"/>
      <c r="L227" s="48"/>
      <c r="M227" s="48"/>
      <c r="N227" s="48"/>
      <c r="O227" s="48"/>
      <c r="P227" s="48"/>
      <c r="Q227" s="48"/>
    </row>
    <row r="228" spans="2:17" s="46" customFormat="1" ht="15" customHeight="1">
      <c r="B228" s="47"/>
      <c r="C228" s="48"/>
      <c r="D228" s="48"/>
      <c r="E228" s="48"/>
      <c r="F228" s="48"/>
      <c r="G228" s="48"/>
      <c r="H228" s="48"/>
      <c r="I228" s="48"/>
      <c r="J228" s="48"/>
      <c r="K228" s="48"/>
      <c r="L228" s="48"/>
      <c r="M228" s="48"/>
      <c r="N228" s="48"/>
      <c r="O228" s="48"/>
      <c r="P228" s="48"/>
      <c r="Q228" s="48"/>
    </row>
    <row r="229" spans="2:17" s="46" customFormat="1" ht="15" customHeight="1">
      <c r="B229" s="47"/>
      <c r="C229" s="48"/>
      <c r="D229" s="48"/>
      <c r="E229" s="48"/>
      <c r="F229" s="48"/>
      <c r="G229" s="48"/>
      <c r="H229" s="48"/>
      <c r="I229" s="48"/>
      <c r="J229" s="48"/>
      <c r="K229" s="48"/>
      <c r="L229" s="48"/>
      <c r="M229" s="48"/>
      <c r="N229" s="48"/>
      <c r="O229" s="48"/>
      <c r="P229" s="48"/>
      <c r="Q229" s="48"/>
    </row>
    <row r="230" spans="2:17" s="46" customFormat="1" ht="15" customHeight="1">
      <c r="B230" s="47"/>
      <c r="C230" s="48"/>
      <c r="D230" s="48"/>
      <c r="E230" s="48"/>
      <c r="F230" s="48"/>
      <c r="G230" s="48"/>
      <c r="H230" s="48"/>
      <c r="I230" s="48"/>
      <c r="J230" s="48"/>
      <c r="K230" s="48"/>
      <c r="L230" s="48"/>
      <c r="M230" s="48"/>
      <c r="N230" s="48"/>
      <c r="O230" s="48"/>
      <c r="P230" s="48"/>
      <c r="Q230" s="48"/>
    </row>
    <row r="231" spans="2:17" s="46" customFormat="1" ht="15" customHeight="1">
      <c r="B231" s="47"/>
      <c r="C231" s="48"/>
      <c r="D231" s="48"/>
      <c r="E231" s="48"/>
      <c r="F231" s="48"/>
      <c r="G231" s="48"/>
      <c r="H231" s="48"/>
      <c r="I231" s="48"/>
      <c r="J231" s="48"/>
      <c r="K231" s="48"/>
      <c r="L231" s="48"/>
      <c r="M231" s="48"/>
      <c r="N231" s="48"/>
      <c r="O231" s="48"/>
      <c r="P231" s="48"/>
      <c r="Q231" s="48"/>
    </row>
    <row r="232" spans="2:17" s="46" customFormat="1" ht="15" customHeight="1">
      <c r="B232" s="47"/>
      <c r="C232" s="48"/>
      <c r="D232" s="48"/>
      <c r="E232" s="48"/>
      <c r="F232" s="48"/>
      <c r="G232" s="48"/>
      <c r="H232" s="48"/>
      <c r="I232" s="48"/>
      <c r="J232" s="48"/>
      <c r="K232" s="48"/>
      <c r="L232" s="48"/>
      <c r="M232" s="48"/>
      <c r="N232" s="48"/>
      <c r="O232" s="48"/>
      <c r="P232" s="48"/>
      <c r="Q232" s="48"/>
    </row>
    <row r="233" spans="2:17" s="46" customFormat="1" ht="15" customHeight="1">
      <c r="B233" s="47"/>
      <c r="C233" s="48"/>
      <c r="D233" s="48"/>
      <c r="E233" s="48"/>
      <c r="F233" s="48"/>
      <c r="G233" s="48"/>
      <c r="H233" s="48"/>
      <c r="I233" s="48"/>
      <c r="J233" s="48"/>
      <c r="K233" s="48"/>
      <c r="L233" s="48"/>
      <c r="M233" s="48"/>
      <c r="N233" s="48"/>
      <c r="O233" s="48"/>
      <c r="P233" s="48"/>
      <c r="Q233" s="48"/>
    </row>
    <row r="234" spans="2:17" s="46" customFormat="1" ht="15" customHeight="1">
      <c r="B234" s="47"/>
      <c r="C234" s="48"/>
      <c r="D234" s="48"/>
      <c r="E234" s="48"/>
      <c r="F234" s="48"/>
      <c r="G234" s="48"/>
      <c r="H234" s="48"/>
      <c r="I234" s="48"/>
      <c r="J234" s="48"/>
      <c r="K234" s="48"/>
      <c r="L234" s="48"/>
      <c r="M234" s="48"/>
      <c r="N234" s="48"/>
      <c r="O234" s="48"/>
      <c r="P234" s="48"/>
      <c r="Q234" s="48"/>
    </row>
    <row r="235" spans="2:17" s="46" customFormat="1" ht="15" customHeight="1">
      <c r="B235" s="47"/>
      <c r="C235" s="48"/>
      <c r="D235" s="48"/>
      <c r="E235" s="48"/>
      <c r="F235" s="48"/>
      <c r="G235" s="48"/>
      <c r="H235" s="48"/>
      <c r="I235" s="48"/>
      <c r="J235" s="48"/>
      <c r="K235" s="48"/>
      <c r="L235" s="48"/>
      <c r="M235" s="48"/>
      <c r="N235" s="48"/>
      <c r="O235" s="48"/>
      <c r="P235" s="48"/>
      <c r="Q235" s="48"/>
    </row>
    <row r="236" spans="2:17" s="46" customFormat="1" ht="15" customHeight="1">
      <c r="B236" s="47"/>
      <c r="C236" s="48"/>
      <c r="D236" s="48"/>
      <c r="E236" s="48"/>
      <c r="F236" s="48"/>
      <c r="G236" s="48"/>
      <c r="H236" s="48"/>
      <c r="I236" s="48"/>
      <c r="J236" s="48"/>
      <c r="K236" s="48"/>
      <c r="L236" s="48"/>
      <c r="M236" s="48"/>
      <c r="N236" s="48"/>
      <c r="O236" s="48"/>
      <c r="P236" s="48"/>
      <c r="Q236" s="48"/>
    </row>
    <row r="237" spans="2:17" s="46" customFormat="1" ht="15" customHeight="1">
      <c r="B237" s="47"/>
      <c r="C237" s="48"/>
      <c r="D237" s="48"/>
      <c r="E237" s="48"/>
      <c r="F237" s="48"/>
      <c r="G237" s="48"/>
      <c r="H237" s="48"/>
      <c r="I237" s="48"/>
      <c r="J237" s="48"/>
      <c r="K237" s="48"/>
      <c r="L237" s="48"/>
      <c r="M237" s="48"/>
      <c r="N237" s="48"/>
      <c r="O237" s="48"/>
      <c r="P237" s="48"/>
      <c r="Q237" s="48"/>
    </row>
    <row r="238" spans="2:17" s="46" customFormat="1" ht="15" customHeight="1">
      <c r="B238" s="47"/>
      <c r="C238" s="48"/>
      <c r="D238" s="48"/>
      <c r="E238" s="48"/>
      <c r="F238" s="48"/>
      <c r="G238" s="48"/>
      <c r="H238" s="48"/>
      <c r="I238" s="48"/>
      <c r="J238" s="48"/>
      <c r="K238" s="48"/>
      <c r="L238" s="48"/>
      <c r="M238" s="48"/>
      <c r="N238" s="48"/>
      <c r="O238" s="48"/>
      <c r="P238" s="48"/>
      <c r="Q238" s="48"/>
    </row>
    <row r="239" spans="2:17" s="46" customFormat="1" ht="15" customHeight="1">
      <c r="B239" s="47"/>
      <c r="C239" s="48"/>
      <c r="D239" s="48"/>
      <c r="E239" s="48"/>
      <c r="F239" s="48"/>
      <c r="G239" s="48"/>
      <c r="H239" s="48"/>
      <c r="I239" s="48"/>
      <c r="J239" s="48"/>
      <c r="K239" s="48"/>
      <c r="L239" s="48"/>
      <c r="M239" s="48"/>
      <c r="N239" s="48"/>
      <c r="O239" s="48"/>
      <c r="P239" s="48"/>
      <c r="Q239" s="48"/>
    </row>
    <row r="240" spans="2:17" s="46" customFormat="1" ht="15" customHeight="1">
      <c r="B240" s="47"/>
      <c r="C240" s="48"/>
      <c r="D240" s="48"/>
      <c r="E240" s="48"/>
      <c r="F240" s="48"/>
      <c r="G240" s="48"/>
      <c r="H240" s="48"/>
      <c r="I240" s="48"/>
      <c r="J240" s="48"/>
      <c r="K240" s="48"/>
      <c r="L240" s="48"/>
      <c r="M240" s="48"/>
      <c r="N240" s="48"/>
      <c r="O240" s="48"/>
      <c r="P240" s="48"/>
      <c r="Q240" s="48"/>
    </row>
    <row r="241" spans="2:17" s="46" customFormat="1" ht="15" customHeight="1">
      <c r="B241" s="47"/>
      <c r="C241" s="48"/>
      <c r="D241" s="48"/>
      <c r="E241" s="48"/>
      <c r="F241" s="48"/>
      <c r="G241" s="48"/>
      <c r="H241" s="48"/>
      <c r="I241" s="48"/>
      <c r="J241" s="48"/>
      <c r="K241" s="48"/>
      <c r="L241" s="48"/>
      <c r="M241" s="48"/>
      <c r="N241" s="48"/>
      <c r="O241" s="48"/>
      <c r="P241" s="48"/>
      <c r="Q241" s="48"/>
    </row>
    <row r="242" spans="2:17" s="46" customFormat="1" ht="15" customHeight="1">
      <c r="B242" s="47"/>
      <c r="C242" s="48"/>
      <c r="D242" s="48"/>
      <c r="E242" s="48"/>
      <c r="F242" s="48"/>
      <c r="G242" s="48"/>
      <c r="H242" s="48"/>
      <c r="I242" s="48"/>
      <c r="J242" s="48"/>
      <c r="K242" s="48"/>
      <c r="L242" s="48"/>
      <c r="M242" s="48"/>
      <c r="N242" s="48"/>
      <c r="O242" s="48"/>
      <c r="P242" s="48"/>
      <c r="Q242" s="48"/>
    </row>
    <row r="243" spans="2:17" s="46" customFormat="1" ht="15" customHeight="1">
      <c r="B243" s="47"/>
      <c r="C243" s="48"/>
      <c r="D243" s="48"/>
      <c r="E243" s="48"/>
      <c r="F243" s="48"/>
      <c r="G243" s="48"/>
      <c r="H243" s="48"/>
      <c r="I243" s="48"/>
      <c r="J243" s="48"/>
      <c r="K243" s="48"/>
      <c r="L243" s="48"/>
      <c r="M243" s="48"/>
      <c r="N243" s="48"/>
      <c r="O243" s="48"/>
      <c r="P243" s="48"/>
      <c r="Q243" s="48"/>
    </row>
    <row r="244" spans="2:17" s="46" customFormat="1" ht="15" customHeight="1">
      <c r="B244" s="47"/>
      <c r="C244" s="48"/>
      <c r="D244" s="48"/>
      <c r="E244" s="48"/>
      <c r="F244" s="48"/>
      <c r="G244" s="48"/>
      <c r="H244" s="48"/>
      <c r="I244" s="48"/>
      <c r="J244" s="48"/>
      <c r="K244" s="48"/>
      <c r="L244" s="48"/>
      <c r="M244" s="48"/>
      <c r="N244" s="48"/>
      <c r="O244" s="48"/>
      <c r="P244" s="48"/>
      <c r="Q244" s="48"/>
    </row>
    <row r="245" spans="2:17" s="46" customFormat="1" ht="15" customHeight="1">
      <c r="B245" s="47"/>
      <c r="C245" s="48"/>
      <c r="D245" s="48"/>
      <c r="E245" s="48"/>
      <c r="F245" s="48"/>
      <c r="G245" s="48"/>
      <c r="H245" s="48"/>
      <c r="I245" s="48"/>
      <c r="J245" s="48"/>
      <c r="K245" s="48"/>
      <c r="L245" s="48"/>
      <c r="M245" s="48"/>
      <c r="N245" s="48"/>
      <c r="O245" s="48"/>
      <c r="P245" s="48"/>
      <c r="Q245" s="48"/>
    </row>
    <row r="246" spans="2:17" s="46" customFormat="1" ht="15" customHeight="1">
      <c r="B246" s="47"/>
      <c r="C246" s="48"/>
      <c r="D246" s="48"/>
      <c r="E246" s="48"/>
      <c r="F246" s="48"/>
      <c r="G246" s="48"/>
      <c r="H246" s="48"/>
      <c r="I246" s="48"/>
      <c r="J246" s="48"/>
      <c r="K246" s="48"/>
      <c r="L246" s="48"/>
      <c r="M246" s="48"/>
      <c r="N246" s="48"/>
      <c r="O246" s="48"/>
      <c r="P246" s="48"/>
      <c r="Q246" s="48"/>
    </row>
    <row r="247" spans="2:17" s="46" customFormat="1" ht="15" customHeight="1">
      <c r="B247" s="47"/>
      <c r="C247" s="48"/>
      <c r="D247" s="48"/>
      <c r="E247" s="48"/>
      <c r="F247" s="48"/>
      <c r="G247" s="48"/>
      <c r="H247" s="48"/>
      <c r="I247" s="48"/>
      <c r="J247" s="48"/>
      <c r="K247" s="48"/>
      <c r="L247" s="48"/>
      <c r="M247" s="48"/>
      <c r="N247" s="48"/>
      <c r="O247" s="48"/>
      <c r="P247" s="48"/>
      <c r="Q247" s="48"/>
    </row>
    <row r="248" spans="2:17" s="46" customFormat="1" ht="15" customHeight="1">
      <c r="B248" s="47"/>
      <c r="C248" s="48"/>
      <c r="D248" s="48"/>
      <c r="E248" s="48"/>
      <c r="F248" s="48"/>
      <c r="G248" s="48"/>
      <c r="H248" s="48"/>
      <c r="I248" s="48"/>
      <c r="J248" s="48"/>
      <c r="K248" s="48"/>
      <c r="L248" s="48"/>
      <c r="M248" s="48"/>
      <c r="N248" s="48"/>
      <c r="O248" s="48"/>
      <c r="P248" s="48"/>
      <c r="Q248" s="48"/>
    </row>
    <row r="249" spans="2:17" s="46" customFormat="1" ht="15" customHeight="1">
      <c r="B249" s="47"/>
      <c r="C249" s="48"/>
      <c r="D249" s="48"/>
      <c r="E249" s="48"/>
      <c r="F249" s="48"/>
      <c r="G249" s="48"/>
      <c r="H249" s="48"/>
      <c r="I249" s="48"/>
      <c r="J249" s="48"/>
      <c r="K249" s="48"/>
      <c r="L249" s="48"/>
      <c r="M249" s="48"/>
      <c r="N249" s="48"/>
      <c r="O249" s="48"/>
      <c r="P249" s="48"/>
      <c r="Q249" s="48"/>
    </row>
    <row r="250" spans="2:17" s="46" customFormat="1" ht="15" customHeight="1">
      <c r="B250" s="47"/>
      <c r="C250" s="48"/>
      <c r="D250" s="48"/>
      <c r="E250" s="48"/>
      <c r="F250" s="48"/>
      <c r="G250" s="48"/>
      <c r="H250" s="48"/>
      <c r="I250" s="48"/>
      <c r="J250" s="48"/>
      <c r="K250" s="48"/>
      <c r="L250" s="48"/>
      <c r="M250" s="48"/>
      <c r="N250" s="48"/>
      <c r="O250" s="48"/>
      <c r="P250" s="48"/>
      <c r="Q250" s="48"/>
    </row>
    <row r="251" spans="2:17" s="46" customFormat="1" ht="15" customHeight="1">
      <c r="B251" s="47"/>
      <c r="C251" s="48"/>
      <c r="D251" s="48"/>
      <c r="E251" s="48"/>
      <c r="F251" s="48"/>
      <c r="G251" s="48"/>
      <c r="H251" s="48"/>
      <c r="I251" s="48"/>
      <c r="J251" s="48"/>
      <c r="K251" s="48"/>
      <c r="L251" s="48"/>
      <c r="M251" s="48"/>
      <c r="N251" s="48"/>
      <c r="O251" s="48"/>
      <c r="P251" s="48"/>
      <c r="Q251" s="48"/>
    </row>
    <row r="252" spans="2:17" s="46" customFormat="1" ht="15" customHeight="1">
      <c r="B252" s="47"/>
      <c r="C252" s="48"/>
      <c r="D252" s="48"/>
      <c r="E252" s="48"/>
      <c r="F252" s="48"/>
      <c r="G252" s="48"/>
      <c r="H252" s="48"/>
      <c r="I252" s="48"/>
      <c r="J252" s="48"/>
      <c r="K252" s="48"/>
      <c r="L252" s="48"/>
      <c r="M252" s="48"/>
      <c r="N252" s="48"/>
      <c r="O252" s="48"/>
      <c r="P252" s="48"/>
      <c r="Q252" s="48"/>
    </row>
    <row r="253" spans="2:17" s="46" customFormat="1" ht="15" customHeight="1">
      <c r="B253" s="47"/>
      <c r="C253" s="48"/>
      <c r="D253" s="48"/>
      <c r="E253" s="48"/>
      <c r="F253" s="48"/>
      <c r="G253" s="48"/>
      <c r="H253" s="48"/>
      <c r="I253" s="48"/>
      <c r="J253" s="48"/>
      <c r="K253" s="48"/>
      <c r="L253" s="48"/>
      <c r="M253" s="48"/>
      <c r="N253" s="48"/>
      <c r="O253" s="48"/>
      <c r="P253" s="48"/>
      <c r="Q253" s="48"/>
    </row>
    <row r="254" spans="2:17" s="46" customFormat="1" ht="15" customHeight="1">
      <c r="B254" s="47"/>
      <c r="C254" s="48"/>
      <c r="D254" s="48"/>
      <c r="E254" s="48"/>
      <c r="F254" s="48"/>
      <c r="G254" s="48"/>
      <c r="H254" s="48"/>
      <c r="I254" s="48"/>
      <c r="J254" s="48"/>
      <c r="K254" s="48"/>
      <c r="L254" s="48"/>
      <c r="M254" s="48"/>
      <c r="N254" s="48"/>
      <c r="O254" s="48"/>
      <c r="P254" s="48"/>
      <c r="Q254" s="48"/>
    </row>
    <row r="255" spans="2:17" s="46" customFormat="1" ht="15" customHeight="1">
      <c r="B255" s="47"/>
      <c r="C255" s="48"/>
      <c r="D255" s="48"/>
      <c r="E255" s="48"/>
      <c r="F255" s="48"/>
      <c r="G255" s="48"/>
      <c r="H255" s="48"/>
      <c r="I255" s="48"/>
      <c r="J255" s="48"/>
      <c r="K255" s="48"/>
      <c r="L255" s="48"/>
      <c r="M255" s="48"/>
      <c r="N255" s="48"/>
      <c r="O255" s="48"/>
      <c r="P255" s="48"/>
      <c r="Q255" s="48"/>
    </row>
    <row r="256" spans="2:17" s="46" customFormat="1" ht="15" customHeight="1">
      <c r="B256" s="47"/>
      <c r="C256" s="48"/>
      <c r="D256" s="48"/>
      <c r="E256" s="48"/>
      <c r="F256" s="48"/>
      <c r="G256" s="48"/>
      <c r="H256" s="48"/>
      <c r="I256" s="48"/>
      <c r="J256" s="48"/>
      <c r="K256" s="48"/>
      <c r="L256" s="48"/>
      <c r="M256" s="48"/>
      <c r="N256" s="48"/>
      <c r="O256" s="48"/>
      <c r="P256" s="48"/>
      <c r="Q256" s="48"/>
    </row>
    <row r="257" spans="2:17" s="46" customFormat="1" ht="15" customHeight="1">
      <c r="B257" s="47"/>
      <c r="C257" s="48"/>
      <c r="D257" s="48"/>
      <c r="E257" s="48"/>
      <c r="F257" s="48"/>
      <c r="G257" s="48"/>
      <c r="H257" s="48"/>
      <c r="I257" s="48"/>
      <c r="J257" s="48"/>
      <c r="K257" s="48"/>
      <c r="L257" s="48"/>
      <c r="M257" s="48"/>
      <c r="N257" s="48"/>
      <c r="O257" s="48"/>
      <c r="P257" s="48"/>
      <c r="Q257" s="48"/>
    </row>
    <row r="258" spans="2:17" s="46" customFormat="1" ht="15" customHeight="1">
      <c r="B258" s="47"/>
      <c r="C258" s="48"/>
      <c r="D258" s="48"/>
      <c r="E258" s="48"/>
      <c r="F258" s="48"/>
      <c r="G258" s="48"/>
      <c r="H258" s="48"/>
      <c r="I258" s="48"/>
      <c r="J258" s="48"/>
      <c r="K258" s="48"/>
      <c r="L258" s="48"/>
      <c r="M258" s="48"/>
      <c r="N258" s="48"/>
      <c r="O258" s="48"/>
      <c r="P258" s="48"/>
      <c r="Q258" s="48"/>
    </row>
    <row r="259" spans="2:17" s="46" customFormat="1" ht="15" customHeight="1">
      <c r="B259" s="47"/>
      <c r="C259" s="48"/>
      <c r="D259" s="48"/>
      <c r="E259" s="48"/>
      <c r="F259" s="48"/>
      <c r="G259" s="48"/>
      <c r="H259" s="48"/>
      <c r="I259" s="48"/>
      <c r="J259" s="48"/>
      <c r="K259" s="48"/>
      <c r="L259" s="48"/>
      <c r="M259" s="48"/>
      <c r="N259" s="48"/>
      <c r="O259" s="48"/>
      <c r="P259" s="48"/>
      <c r="Q259" s="48"/>
    </row>
    <row r="260" spans="2:17" s="46" customFormat="1" ht="15" customHeight="1">
      <c r="B260" s="47"/>
      <c r="C260" s="48"/>
      <c r="D260" s="48"/>
      <c r="E260" s="48"/>
      <c r="F260" s="48"/>
      <c r="G260" s="48"/>
      <c r="H260" s="48"/>
      <c r="I260" s="48"/>
      <c r="J260" s="48"/>
      <c r="K260" s="48"/>
      <c r="L260" s="48"/>
      <c r="M260" s="48"/>
      <c r="N260" s="48"/>
      <c r="O260" s="48"/>
      <c r="P260" s="48"/>
      <c r="Q260" s="48"/>
    </row>
    <row r="261" spans="2:17" s="46" customFormat="1" ht="15" customHeight="1">
      <c r="B261" s="47"/>
      <c r="C261" s="48"/>
      <c r="D261" s="48"/>
      <c r="E261" s="48"/>
      <c r="F261" s="48"/>
      <c r="G261" s="48"/>
      <c r="H261" s="48"/>
      <c r="I261" s="48"/>
      <c r="J261" s="48"/>
      <c r="K261" s="48"/>
      <c r="L261" s="48"/>
      <c r="M261" s="48"/>
      <c r="N261" s="48"/>
      <c r="O261" s="48"/>
      <c r="P261" s="48"/>
      <c r="Q261" s="48"/>
    </row>
    <row r="262" spans="2:17" s="46" customFormat="1" ht="15" customHeight="1">
      <c r="B262" s="47"/>
      <c r="C262" s="48"/>
      <c r="D262" s="48"/>
      <c r="E262" s="48"/>
      <c r="F262" s="48"/>
      <c r="G262" s="48"/>
      <c r="H262" s="48"/>
      <c r="I262" s="48"/>
      <c r="J262" s="48"/>
      <c r="K262" s="48"/>
      <c r="L262" s="48"/>
      <c r="M262" s="48"/>
      <c r="N262" s="48"/>
      <c r="O262" s="48"/>
      <c r="P262" s="48"/>
      <c r="Q262" s="48"/>
    </row>
    <row r="263" spans="2:17" s="46" customFormat="1" ht="15" customHeight="1">
      <c r="B263" s="47"/>
      <c r="C263" s="48"/>
      <c r="D263" s="48"/>
      <c r="E263" s="48"/>
      <c r="F263" s="48"/>
      <c r="G263" s="48"/>
      <c r="H263" s="48"/>
      <c r="I263" s="48"/>
      <c r="J263" s="48"/>
      <c r="K263" s="48"/>
      <c r="L263" s="48"/>
      <c r="M263" s="48"/>
      <c r="N263" s="48"/>
      <c r="O263" s="48"/>
      <c r="P263" s="48"/>
      <c r="Q263" s="48"/>
    </row>
    <row r="264" spans="2:17" s="46" customFormat="1" ht="15" customHeight="1">
      <c r="B264" s="47"/>
      <c r="C264" s="48"/>
      <c r="D264" s="48"/>
      <c r="E264" s="48"/>
      <c r="F264" s="48"/>
      <c r="G264" s="48"/>
      <c r="H264" s="48"/>
      <c r="I264" s="48"/>
      <c r="J264" s="48"/>
      <c r="K264" s="48"/>
      <c r="L264" s="48"/>
      <c r="M264" s="48"/>
      <c r="N264" s="48"/>
      <c r="O264" s="48"/>
      <c r="P264" s="48"/>
      <c r="Q264" s="48"/>
    </row>
    <row r="265" spans="2:17" s="46" customFormat="1" ht="15" customHeight="1">
      <c r="B265" s="47"/>
      <c r="C265" s="48"/>
      <c r="D265" s="48"/>
      <c r="E265" s="48"/>
      <c r="F265" s="48"/>
      <c r="G265" s="48"/>
      <c r="H265" s="48"/>
      <c r="I265" s="48"/>
      <c r="J265" s="48"/>
      <c r="K265" s="48"/>
      <c r="L265" s="48"/>
      <c r="M265" s="48"/>
      <c r="N265" s="48"/>
      <c r="O265" s="48"/>
      <c r="P265" s="48"/>
      <c r="Q265" s="48"/>
    </row>
    <row r="266" spans="2:17" s="46" customFormat="1" ht="15" customHeight="1">
      <c r="B266" s="47"/>
      <c r="C266" s="48"/>
      <c r="D266" s="48"/>
      <c r="E266" s="48"/>
      <c r="F266" s="48"/>
      <c r="G266" s="48"/>
      <c r="H266" s="48"/>
      <c r="I266" s="48"/>
      <c r="J266" s="48"/>
      <c r="K266" s="48"/>
      <c r="L266" s="48"/>
      <c r="M266" s="48"/>
      <c r="N266" s="48"/>
      <c r="O266" s="48"/>
      <c r="P266" s="48"/>
      <c r="Q266" s="48"/>
    </row>
    <row r="267" spans="2:17" s="46" customFormat="1" ht="15" customHeight="1">
      <c r="B267" s="47"/>
      <c r="C267" s="48"/>
      <c r="D267" s="48"/>
      <c r="E267" s="48"/>
      <c r="F267" s="48"/>
      <c r="G267" s="48"/>
      <c r="H267" s="48"/>
      <c r="I267" s="48"/>
      <c r="J267" s="48"/>
      <c r="K267" s="48"/>
      <c r="L267" s="48"/>
      <c r="M267" s="48"/>
      <c r="N267" s="48"/>
      <c r="O267" s="48"/>
      <c r="P267" s="48"/>
      <c r="Q267" s="48"/>
    </row>
    <row r="268" spans="2:17" s="46" customFormat="1" ht="15" customHeight="1">
      <c r="B268" s="47"/>
      <c r="C268" s="48"/>
      <c r="D268" s="48"/>
      <c r="E268" s="48"/>
      <c r="F268" s="48"/>
      <c r="G268" s="48"/>
      <c r="H268" s="48"/>
      <c r="I268" s="48"/>
      <c r="J268" s="48"/>
      <c r="K268" s="48"/>
      <c r="L268" s="48"/>
      <c r="M268" s="48"/>
      <c r="N268" s="48"/>
      <c r="O268" s="48"/>
      <c r="P268" s="48"/>
      <c r="Q268" s="48"/>
    </row>
    <row r="269" spans="2:17" s="46" customFormat="1" ht="15" customHeight="1">
      <c r="B269" s="47"/>
      <c r="C269" s="48"/>
      <c r="D269" s="48"/>
      <c r="E269" s="48"/>
      <c r="F269" s="48"/>
      <c r="G269" s="48"/>
      <c r="H269" s="48"/>
      <c r="I269" s="48"/>
      <c r="J269" s="48"/>
      <c r="K269" s="48"/>
      <c r="L269" s="48"/>
      <c r="M269" s="48"/>
      <c r="N269" s="48"/>
      <c r="O269" s="48"/>
      <c r="P269" s="48"/>
      <c r="Q269" s="48"/>
    </row>
    <row r="270" spans="2:17" s="46" customFormat="1" ht="15" customHeight="1">
      <c r="B270" s="47"/>
      <c r="C270" s="48"/>
      <c r="D270" s="48"/>
      <c r="E270" s="48"/>
      <c r="F270" s="48"/>
      <c r="G270" s="48"/>
      <c r="H270" s="48"/>
      <c r="I270" s="48"/>
      <c r="J270" s="48"/>
      <c r="K270" s="48"/>
      <c r="L270" s="48"/>
      <c r="M270" s="48"/>
      <c r="N270" s="48"/>
      <c r="O270" s="48"/>
      <c r="P270" s="48"/>
      <c r="Q270" s="48"/>
    </row>
    <row r="271" spans="2:17" s="46" customFormat="1" ht="15" customHeight="1">
      <c r="B271" s="47"/>
      <c r="C271" s="48"/>
      <c r="D271" s="48"/>
      <c r="E271" s="48"/>
      <c r="F271" s="48"/>
      <c r="G271" s="48"/>
      <c r="H271" s="48"/>
      <c r="I271" s="48"/>
      <c r="J271" s="48"/>
      <c r="K271" s="48"/>
      <c r="L271" s="48"/>
      <c r="M271" s="48"/>
      <c r="N271" s="48"/>
      <c r="O271" s="48"/>
      <c r="P271" s="48"/>
      <c r="Q271" s="48"/>
    </row>
    <row r="272" spans="2:17" s="46" customFormat="1" ht="15" customHeight="1">
      <c r="B272" s="47"/>
      <c r="C272" s="48"/>
      <c r="D272" s="48"/>
      <c r="E272" s="48"/>
      <c r="F272" s="48"/>
      <c r="G272" s="48"/>
      <c r="H272" s="48"/>
      <c r="I272" s="48"/>
      <c r="J272" s="48"/>
      <c r="K272" s="48"/>
      <c r="L272" s="48"/>
      <c r="M272" s="48"/>
      <c r="N272" s="48"/>
      <c r="O272" s="48"/>
      <c r="P272" s="48"/>
      <c r="Q272" s="48"/>
    </row>
    <row r="273" spans="2:17" s="46" customFormat="1" ht="15" customHeight="1">
      <c r="B273" s="47"/>
      <c r="C273" s="48"/>
      <c r="D273" s="48"/>
      <c r="E273" s="48"/>
      <c r="F273" s="48"/>
      <c r="G273" s="48"/>
      <c r="H273" s="48"/>
      <c r="I273" s="48"/>
      <c r="J273" s="48"/>
      <c r="K273" s="48"/>
      <c r="L273" s="48"/>
      <c r="M273" s="48"/>
      <c r="N273" s="48"/>
      <c r="O273" s="48"/>
      <c r="P273" s="48"/>
      <c r="Q273" s="48"/>
    </row>
    <row r="274" spans="2:17" s="46" customFormat="1" ht="15" customHeight="1">
      <c r="B274" s="47"/>
      <c r="C274" s="48"/>
      <c r="D274" s="48"/>
      <c r="E274" s="48"/>
      <c r="F274" s="48"/>
      <c r="G274" s="48"/>
      <c r="H274" s="48"/>
      <c r="I274" s="48"/>
      <c r="J274" s="48"/>
      <c r="K274" s="48"/>
      <c r="L274" s="48"/>
      <c r="M274" s="48"/>
      <c r="N274" s="48"/>
      <c r="O274" s="48"/>
      <c r="P274" s="48"/>
      <c r="Q274" s="48"/>
    </row>
    <row r="275" spans="2:17" s="46" customFormat="1" ht="15" customHeight="1">
      <c r="B275" s="47"/>
      <c r="C275" s="48"/>
      <c r="D275" s="48"/>
      <c r="E275" s="48"/>
      <c r="F275" s="48"/>
      <c r="G275" s="48"/>
      <c r="H275" s="48"/>
      <c r="I275" s="48"/>
      <c r="J275" s="48"/>
      <c r="K275" s="48"/>
      <c r="L275" s="48"/>
      <c r="M275" s="48"/>
      <c r="N275" s="48"/>
      <c r="O275" s="48"/>
      <c r="P275" s="48"/>
      <c r="Q275" s="48"/>
    </row>
    <row r="276" spans="2:17" s="46" customFormat="1" ht="15" customHeight="1">
      <c r="B276" s="47"/>
      <c r="C276" s="48"/>
      <c r="D276" s="48"/>
      <c r="E276" s="48"/>
      <c r="F276" s="48"/>
      <c r="G276" s="48"/>
      <c r="H276" s="48"/>
      <c r="I276" s="48"/>
      <c r="J276" s="48"/>
      <c r="K276" s="48"/>
      <c r="L276" s="48"/>
      <c r="M276" s="48"/>
      <c r="N276" s="48"/>
      <c r="O276" s="48"/>
      <c r="P276" s="48"/>
      <c r="Q276" s="48"/>
    </row>
    <row r="277" spans="2:17" s="46" customFormat="1" ht="15" customHeight="1">
      <c r="B277" s="47"/>
      <c r="C277" s="48"/>
      <c r="D277" s="48"/>
      <c r="E277" s="48"/>
      <c r="F277" s="48"/>
      <c r="G277" s="48"/>
      <c r="H277" s="48"/>
      <c r="I277" s="48"/>
      <c r="J277" s="48"/>
      <c r="K277" s="48"/>
      <c r="L277" s="48"/>
      <c r="M277" s="48"/>
      <c r="N277" s="48"/>
      <c r="O277" s="48"/>
      <c r="P277" s="48"/>
      <c r="Q277" s="48"/>
    </row>
    <row r="278" spans="2:17" s="46" customFormat="1" ht="15" customHeight="1">
      <c r="B278" s="47"/>
      <c r="C278" s="48"/>
      <c r="D278" s="48"/>
      <c r="E278" s="48"/>
      <c r="F278" s="48"/>
      <c r="G278" s="48"/>
      <c r="H278" s="48"/>
      <c r="I278" s="48"/>
      <c r="J278" s="48"/>
      <c r="K278" s="48"/>
      <c r="L278" s="48"/>
      <c r="M278" s="48"/>
      <c r="N278" s="48"/>
      <c r="O278" s="48"/>
      <c r="P278" s="48"/>
      <c r="Q278" s="48"/>
    </row>
    <row r="279" spans="2:17" s="46" customFormat="1" ht="15" customHeight="1">
      <c r="B279" s="47"/>
      <c r="C279" s="48"/>
      <c r="D279" s="48"/>
      <c r="E279" s="48"/>
      <c r="F279" s="48"/>
      <c r="G279" s="48"/>
      <c r="H279" s="48"/>
      <c r="I279" s="48"/>
      <c r="J279" s="48"/>
      <c r="K279" s="48"/>
      <c r="L279" s="48"/>
      <c r="M279" s="48"/>
      <c r="N279" s="48"/>
      <c r="O279" s="48"/>
      <c r="P279" s="48"/>
      <c r="Q279" s="48"/>
    </row>
    <row r="280" spans="2:17" s="46" customFormat="1" ht="15" customHeight="1">
      <c r="B280" s="47"/>
      <c r="C280" s="48"/>
      <c r="D280" s="48"/>
      <c r="E280" s="48"/>
      <c r="F280" s="48"/>
      <c r="G280" s="48"/>
      <c r="H280" s="48"/>
      <c r="I280" s="48"/>
      <c r="J280" s="48"/>
      <c r="K280" s="48"/>
      <c r="L280" s="48"/>
      <c r="M280" s="48"/>
      <c r="N280" s="48"/>
      <c r="O280" s="48"/>
      <c r="P280" s="48"/>
      <c r="Q280" s="48"/>
    </row>
    <row r="281" spans="2:17" s="46" customFormat="1" ht="15" customHeight="1">
      <c r="B281" s="47"/>
      <c r="C281" s="48"/>
      <c r="D281" s="48"/>
      <c r="E281" s="48"/>
      <c r="F281" s="48"/>
      <c r="G281" s="48"/>
      <c r="H281" s="48"/>
      <c r="I281" s="48"/>
      <c r="J281" s="48"/>
      <c r="K281" s="48"/>
      <c r="L281" s="48"/>
      <c r="M281" s="48"/>
      <c r="N281" s="48"/>
      <c r="O281" s="48"/>
      <c r="P281" s="48"/>
      <c r="Q281" s="48"/>
    </row>
    <row r="282" spans="2:17" s="46" customFormat="1" ht="15" customHeight="1">
      <c r="B282" s="47"/>
      <c r="C282" s="48"/>
      <c r="D282" s="48"/>
      <c r="E282" s="48"/>
      <c r="F282" s="48"/>
      <c r="G282" s="48"/>
      <c r="H282" s="48"/>
      <c r="I282" s="48"/>
      <c r="J282" s="48"/>
      <c r="K282" s="48"/>
      <c r="L282" s="48"/>
      <c r="M282" s="48"/>
      <c r="N282" s="48"/>
      <c r="O282" s="48"/>
      <c r="P282" s="48"/>
      <c r="Q282" s="48"/>
    </row>
    <row r="283" spans="2:17" s="46" customFormat="1" ht="15" customHeight="1">
      <c r="B283" s="47"/>
      <c r="C283" s="48"/>
      <c r="D283" s="48"/>
      <c r="E283" s="48"/>
      <c r="F283" s="48"/>
      <c r="G283" s="48"/>
      <c r="H283" s="48"/>
      <c r="I283" s="48"/>
      <c r="J283" s="48"/>
      <c r="K283" s="48"/>
      <c r="L283" s="48"/>
      <c r="M283" s="48"/>
      <c r="N283" s="48"/>
      <c r="O283" s="48"/>
      <c r="P283" s="48"/>
      <c r="Q283" s="48"/>
    </row>
    <row r="284" spans="2:17" s="46" customFormat="1" ht="15" customHeight="1">
      <c r="B284" s="47"/>
      <c r="C284" s="48"/>
      <c r="D284" s="48"/>
      <c r="E284" s="48"/>
      <c r="F284" s="48"/>
      <c r="G284" s="48"/>
      <c r="H284" s="48"/>
      <c r="I284" s="48"/>
      <c r="J284" s="48"/>
      <c r="K284" s="48"/>
      <c r="L284" s="48"/>
      <c r="M284" s="48"/>
      <c r="N284" s="48"/>
      <c r="O284" s="48"/>
      <c r="P284" s="48"/>
      <c r="Q284" s="48"/>
    </row>
    <row r="285" spans="2:17" s="46" customFormat="1" ht="15" customHeight="1">
      <c r="B285" s="47"/>
      <c r="C285" s="48"/>
      <c r="D285" s="48"/>
      <c r="E285" s="48"/>
      <c r="F285" s="48"/>
      <c r="G285" s="48"/>
      <c r="H285" s="48"/>
      <c r="I285" s="48"/>
      <c r="J285" s="48"/>
      <c r="K285" s="48"/>
      <c r="L285" s="48"/>
      <c r="M285" s="48"/>
      <c r="N285" s="48"/>
      <c r="O285" s="48"/>
      <c r="P285" s="48"/>
      <c r="Q285" s="48"/>
    </row>
    <row r="286" spans="2:17" s="46" customFormat="1" ht="15" customHeight="1">
      <c r="B286" s="47"/>
      <c r="C286" s="48"/>
      <c r="D286" s="48"/>
      <c r="E286" s="48"/>
      <c r="F286" s="48"/>
      <c r="G286" s="48"/>
      <c r="H286" s="48"/>
      <c r="I286" s="48"/>
      <c r="J286" s="48"/>
      <c r="K286" s="48"/>
      <c r="L286" s="48"/>
      <c r="M286" s="48"/>
      <c r="N286" s="48"/>
      <c r="O286" s="48"/>
      <c r="P286" s="48"/>
      <c r="Q286" s="48"/>
    </row>
    <row r="287" spans="2:17" s="46" customFormat="1" ht="15" customHeight="1">
      <c r="B287" s="47"/>
      <c r="C287" s="48"/>
      <c r="D287" s="48"/>
      <c r="E287" s="48"/>
      <c r="F287" s="48"/>
      <c r="G287" s="48"/>
      <c r="H287" s="48"/>
      <c r="I287" s="48"/>
      <c r="J287" s="48"/>
      <c r="K287" s="48"/>
      <c r="L287" s="48"/>
      <c r="M287" s="48"/>
      <c r="N287" s="48"/>
      <c r="O287" s="48"/>
      <c r="P287" s="48"/>
      <c r="Q287" s="48"/>
    </row>
    <row r="288" spans="2:17" s="46" customFormat="1" ht="15" customHeight="1">
      <c r="B288" s="47"/>
      <c r="C288" s="48"/>
      <c r="D288" s="48"/>
      <c r="E288" s="48"/>
      <c r="F288" s="48"/>
      <c r="G288" s="48"/>
      <c r="H288" s="48"/>
      <c r="I288" s="48"/>
      <c r="J288" s="48"/>
      <c r="K288" s="48"/>
      <c r="L288" s="48"/>
      <c r="M288" s="48"/>
      <c r="N288" s="48"/>
      <c r="O288" s="48"/>
      <c r="P288" s="48"/>
      <c r="Q288" s="48"/>
    </row>
    <row r="289" spans="2:17" s="46" customFormat="1" ht="15" customHeight="1">
      <c r="B289" s="47"/>
      <c r="C289" s="48"/>
      <c r="D289" s="48"/>
      <c r="E289" s="48"/>
      <c r="F289" s="48"/>
      <c r="G289" s="48"/>
      <c r="H289" s="48"/>
      <c r="I289" s="48"/>
      <c r="J289" s="48"/>
      <c r="K289" s="48"/>
      <c r="L289" s="48"/>
      <c r="M289" s="48"/>
      <c r="N289" s="48"/>
      <c r="O289" s="48"/>
      <c r="P289" s="48"/>
      <c r="Q289" s="48"/>
    </row>
    <row r="290" spans="2:17" s="46" customFormat="1" ht="15" customHeight="1">
      <c r="B290" s="47"/>
      <c r="C290" s="48"/>
      <c r="D290" s="48"/>
      <c r="E290" s="48"/>
      <c r="F290" s="48"/>
      <c r="G290" s="48"/>
      <c r="H290" s="48"/>
      <c r="I290" s="48"/>
      <c r="J290" s="48"/>
      <c r="K290" s="48"/>
      <c r="L290" s="48"/>
      <c r="M290" s="48"/>
      <c r="N290" s="48"/>
      <c r="O290" s="48"/>
      <c r="P290" s="48"/>
      <c r="Q290" s="48"/>
    </row>
    <row r="291" spans="2:17" s="46" customFormat="1" ht="15" customHeight="1">
      <c r="B291" s="47"/>
      <c r="C291" s="48"/>
      <c r="D291" s="48"/>
      <c r="E291" s="48"/>
      <c r="F291" s="48"/>
      <c r="G291" s="48"/>
      <c r="H291" s="48"/>
      <c r="I291" s="48"/>
      <c r="J291" s="48"/>
      <c r="K291" s="48"/>
      <c r="L291" s="48"/>
      <c r="M291" s="48"/>
      <c r="N291" s="48"/>
      <c r="O291" s="48"/>
      <c r="P291" s="48"/>
      <c r="Q291" s="48"/>
    </row>
    <row r="292" spans="2:17" s="46" customFormat="1" ht="15" customHeight="1">
      <c r="B292" s="47"/>
      <c r="C292" s="48"/>
      <c r="D292" s="48"/>
      <c r="E292" s="48"/>
      <c r="F292" s="48"/>
      <c r="G292" s="48"/>
      <c r="H292" s="48"/>
      <c r="I292" s="48"/>
      <c r="J292" s="48"/>
      <c r="K292" s="48"/>
      <c r="L292" s="48"/>
      <c r="M292" s="48"/>
      <c r="N292" s="48"/>
      <c r="O292" s="48"/>
      <c r="P292" s="48"/>
      <c r="Q292" s="48"/>
    </row>
    <row r="293" spans="2:17" s="46" customFormat="1" ht="15" customHeight="1">
      <c r="B293" s="47"/>
      <c r="C293" s="48"/>
      <c r="D293" s="48"/>
      <c r="E293" s="48"/>
      <c r="F293" s="48"/>
      <c r="G293" s="48"/>
      <c r="H293" s="48"/>
      <c r="I293" s="48"/>
      <c r="J293" s="48"/>
      <c r="K293" s="48"/>
      <c r="L293" s="48"/>
      <c r="M293" s="48"/>
      <c r="N293" s="48"/>
      <c r="O293" s="48"/>
      <c r="P293" s="48"/>
      <c r="Q293" s="48"/>
    </row>
    <row r="294" spans="2:17" s="46" customFormat="1" ht="15" customHeight="1">
      <c r="B294" s="47"/>
      <c r="C294" s="48"/>
      <c r="D294" s="48"/>
      <c r="E294" s="48"/>
      <c r="F294" s="48"/>
      <c r="G294" s="48"/>
      <c r="H294" s="48"/>
      <c r="I294" s="48"/>
      <c r="J294" s="48"/>
      <c r="K294" s="48"/>
      <c r="L294" s="48"/>
      <c r="M294" s="48"/>
      <c r="N294" s="48"/>
      <c r="O294" s="48"/>
      <c r="P294" s="48"/>
      <c r="Q294" s="48"/>
    </row>
    <row r="295" spans="2:17" s="46" customFormat="1" ht="15" customHeight="1">
      <c r="B295" s="47"/>
      <c r="C295" s="48"/>
      <c r="D295" s="48"/>
      <c r="E295" s="48"/>
      <c r="F295" s="48"/>
      <c r="G295" s="48"/>
      <c r="H295" s="48"/>
      <c r="I295" s="48"/>
      <c r="J295" s="48"/>
      <c r="K295" s="48"/>
      <c r="L295" s="48"/>
      <c r="M295" s="48"/>
      <c r="N295" s="48"/>
      <c r="O295" s="48"/>
      <c r="P295" s="48"/>
      <c r="Q295" s="48"/>
    </row>
    <row r="296" spans="2:17" s="46" customFormat="1" ht="15" customHeight="1">
      <c r="B296" s="47"/>
      <c r="C296" s="48"/>
      <c r="D296" s="48"/>
      <c r="E296" s="48"/>
      <c r="F296" s="48"/>
      <c r="G296" s="48"/>
      <c r="H296" s="48"/>
      <c r="I296" s="48"/>
      <c r="J296" s="48"/>
      <c r="K296" s="48"/>
      <c r="L296" s="48"/>
      <c r="M296" s="48"/>
      <c r="N296" s="48"/>
      <c r="O296" s="48"/>
      <c r="P296" s="48"/>
      <c r="Q296" s="48"/>
    </row>
    <row r="297" spans="2:17" s="46" customFormat="1" ht="15" customHeight="1">
      <c r="B297" s="47"/>
      <c r="C297" s="48"/>
      <c r="D297" s="48"/>
      <c r="E297" s="48"/>
      <c r="F297" s="48"/>
      <c r="G297" s="48"/>
      <c r="H297" s="48"/>
      <c r="I297" s="48"/>
      <c r="J297" s="48"/>
      <c r="K297" s="48"/>
      <c r="L297" s="48"/>
      <c r="M297" s="48"/>
      <c r="N297" s="48"/>
      <c r="O297" s="48"/>
      <c r="P297" s="48"/>
      <c r="Q297" s="48"/>
    </row>
    <row r="298" spans="2:17" s="46" customFormat="1" ht="15" customHeight="1">
      <c r="B298" s="47"/>
      <c r="C298" s="48"/>
      <c r="D298" s="48"/>
      <c r="E298" s="48"/>
      <c r="F298" s="48"/>
      <c r="G298" s="48"/>
      <c r="H298" s="48"/>
      <c r="I298" s="48"/>
      <c r="J298" s="48"/>
      <c r="K298" s="48"/>
      <c r="L298" s="48"/>
      <c r="M298" s="48"/>
      <c r="N298" s="48"/>
      <c r="O298" s="48"/>
      <c r="P298" s="48"/>
      <c r="Q298" s="48"/>
    </row>
    <row r="299" spans="2:17" s="46" customFormat="1" ht="15" customHeight="1">
      <c r="B299" s="47"/>
      <c r="C299" s="48"/>
      <c r="D299" s="48"/>
      <c r="E299" s="48"/>
      <c r="F299" s="48"/>
      <c r="G299" s="48"/>
      <c r="H299" s="48"/>
      <c r="I299" s="48"/>
      <c r="J299" s="48"/>
      <c r="K299" s="48"/>
      <c r="L299" s="48"/>
      <c r="M299" s="48"/>
      <c r="N299" s="48"/>
      <c r="O299" s="48"/>
      <c r="P299" s="48"/>
      <c r="Q299" s="48"/>
    </row>
    <row r="300" spans="2:17" s="46" customFormat="1" ht="15" customHeight="1">
      <c r="B300" s="47"/>
      <c r="C300" s="48"/>
      <c r="D300" s="48"/>
      <c r="E300" s="48"/>
      <c r="F300" s="48"/>
      <c r="G300" s="48"/>
      <c r="H300" s="48"/>
      <c r="I300" s="48"/>
      <c r="J300" s="48"/>
      <c r="K300" s="48"/>
      <c r="L300" s="48"/>
      <c r="M300" s="48"/>
      <c r="N300" s="48"/>
      <c r="O300" s="48"/>
      <c r="P300" s="48"/>
      <c r="Q300" s="48"/>
    </row>
    <row r="301" spans="2:17" s="46" customFormat="1" ht="15" customHeight="1">
      <c r="B301" s="47"/>
      <c r="C301" s="48"/>
      <c r="D301" s="48"/>
      <c r="E301" s="48"/>
      <c r="F301" s="48"/>
      <c r="G301" s="48"/>
      <c r="H301" s="48"/>
      <c r="I301" s="48"/>
      <c r="J301" s="48"/>
      <c r="K301" s="48"/>
      <c r="L301" s="48"/>
      <c r="M301" s="48"/>
      <c r="N301" s="48"/>
      <c r="O301" s="48"/>
      <c r="P301" s="48"/>
      <c r="Q301" s="48"/>
    </row>
    <row r="302" spans="2:17" s="46" customFormat="1" ht="15" customHeight="1">
      <c r="B302" s="47"/>
      <c r="C302" s="48"/>
      <c r="D302" s="48"/>
      <c r="E302" s="48"/>
      <c r="F302" s="48"/>
      <c r="G302" s="48"/>
      <c r="H302" s="48"/>
      <c r="I302" s="48"/>
      <c r="J302" s="48"/>
      <c r="K302" s="48"/>
      <c r="L302" s="48"/>
      <c r="M302" s="48"/>
      <c r="N302" s="48"/>
      <c r="O302" s="48"/>
      <c r="P302" s="48"/>
      <c r="Q302" s="48"/>
    </row>
    <row r="303" spans="2:17" s="46" customFormat="1" ht="15" customHeight="1">
      <c r="B303" s="47"/>
      <c r="C303" s="48"/>
      <c r="D303" s="48"/>
      <c r="E303" s="48"/>
      <c r="F303" s="48"/>
      <c r="G303" s="48"/>
      <c r="H303" s="48"/>
      <c r="I303" s="48"/>
      <c r="J303" s="48"/>
      <c r="K303" s="48"/>
      <c r="L303" s="48"/>
      <c r="M303" s="48"/>
      <c r="N303" s="48"/>
      <c r="O303" s="48"/>
      <c r="P303" s="48"/>
      <c r="Q303" s="48"/>
    </row>
    <row r="304" spans="2:17" s="46" customFormat="1" ht="15" customHeight="1">
      <c r="B304" s="47"/>
      <c r="C304" s="48"/>
      <c r="D304" s="48"/>
      <c r="E304" s="48"/>
      <c r="F304" s="48"/>
      <c r="G304" s="48"/>
      <c r="H304" s="48"/>
      <c r="I304" s="48"/>
      <c r="J304" s="48"/>
      <c r="K304" s="48"/>
      <c r="L304" s="48"/>
      <c r="M304" s="48"/>
      <c r="N304" s="48"/>
      <c r="O304" s="48"/>
      <c r="P304" s="48"/>
      <c r="Q304" s="48"/>
    </row>
    <row r="305" spans="2:17" s="46" customFormat="1" ht="15" customHeight="1">
      <c r="B305" s="47"/>
      <c r="C305" s="48"/>
      <c r="D305" s="48"/>
      <c r="E305" s="48"/>
      <c r="F305" s="48"/>
      <c r="G305" s="48"/>
      <c r="H305" s="48"/>
      <c r="I305" s="48"/>
      <c r="J305" s="48"/>
      <c r="K305" s="48"/>
      <c r="L305" s="48"/>
      <c r="M305" s="48"/>
      <c r="N305" s="48"/>
      <c r="O305" s="48"/>
      <c r="P305" s="48"/>
      <c r="Q305" s="48"/>
    </row>
    <row r="306" spans="2:17" s="46" customFormat="1" ht="15" customHeight="1">
      <c r="B306" s="47"/>
      <c r="C306" s="48"/>
      <c r="D306" s="48"/>
      <c r="E306" s="48"/>
      <c r="F306" s="48"/>
      <c r="G306" s="48"/>
      <c r="H306" s="48"/>
      <c r="I306" s="48"/>
      <c r="J306" s="48"/>
      <c r="K306" s="48"/>
      <c r="L306" s="48"/>
      <c r="M306" s="48"/>
      <c r="N306" s="48"/>
      <c r="O306" s="48"/>
      <c r="P306" s="48"/>
      <c r="Q306" s="48"/>
    </row>
    <row r="307" spans="2:17" s="46" customFormat="1" ht="15" customHeight="1">
      <c r="B307" s="47"/>
      <c r="C307" s="48"/>
      <c r="D307" s="48"/>
      <c r="E307" s="48"/>
      <c r="F307" s="48"/>
      <c r="G307" s="48"/>
      <c r="H307" s="48"/>
      <c r="I307" s="48"/>
      <c r="J307" s="48"/>
      <c r="K307" s="48"/>
      <c r="L307" s="48"/>
      <c r="M307" s="48"/>
      <c r="N307" s="48"/>
      <c r="O307" s="48"/>
      <c r="P307" s="48"/>
      <c r="Q307" s="48"/>
    </row>
    <row r="308" spans="2:17" s="46" customFormat="1" ht="15" customHeight="1">
      <c r="B308" s="47"/>
      <c r="C308" s="48"/>
      <c r="D308" s="48"/>
      <c r="E308" s="48"/>
      <c r="F308" s="48"/>
      <c r="G308" s="48"/>
      <c r="H308" s="48"/>
      <c r="I308" s="48"/>
      <c r="J308" s="48"/>
      <c r="K308" s="48"/>
      <c r="L308" s="48"/>
      <c r="M308" s="48"/>
      <c r="N308" s="48"/>
      <c r="O308" s="48"/>
      <c r="P308" s="48"/>
      <c r="Q308" s="48"/>
    </row>
    <row r="309" spans="2:17" s="46" customFormat="1" ht="15" customHeight="1">
      <c r="B309" s="47"/>
      <c r="C309" s="48"/>
      <c r="D309" s="48"/>
      <c r="E309" s="48"/>
      <c r="F309" s="48"/>
      <c r="G309" s="48"/>
      <c r="H309" s="48"/>
      <c r="I309" s="48"/>
      <c r="J309" s="48"/>
      <c r="K309" s="48"/>
      <c r="L309" s="48"/>
      <c r="M309" s="48"/>
      <c r="N309" s="48"/>
      <c r="O309" s="48"/>
      <c r="P309" s="48"/>
      <c r="Q309" s="48"/>
    </row>
    <row r="310" spans="2:17" s="46" customFormat="1" ht="15" customHeight="1">
      <c r="B310" s="47"/>
      <c r="C310" s="48"/>
      <c r="D310" s="48"/>
      <c r="E310" s="48"/>
      <c r="F310" s="48"/>
      <c r="G310" s="48"/>
      <c r="H310" s="48"/>
      <c r="I310" s="48"/>
      <c r="J310" s="48"/>
      <c r="K310" s="48"/>
      <c r="L310" s="48"/>
      <c r="M310" s="48"/>
      <c r="N310" s="48"/>
      <c r="O310" s="48"/>
      <c r="P310" s="48"/>
      <c r="Q310" s="48"/>
    </row>
    <row r="311" spans="2:17" s="46" customFormat="1" ht="15" customHeight="1">
      <c r="B311" s="47"/>
      <c r="C311" s="48"/>
      <c r="D311" s="48"/>
      <c r="E311" s="48"/>
      <c r="F311" s="48"/>
      <c r="G311" s="48"/>
      <c r="H311" s="48"/>
      <c r="I311" s="48"/>
      <c r="J311" s="48"/>
      <c r="K311" s="48"/>
      <c r="L311" s="48"/>
      <c r="M311" s="48"/>
      <c r="N311" s="48"/>
      <c r="O311" s="48"/>
      <c r="P311" s="48"/>
      <c r="Q311" s="48"/>
    </row>
    <row r="312" spans="2:17" s="46" customFormat="1" ht="15" customHeight="1">
      <c r="B312" s="47"/>
      <c r="C312" s="48"/>
      <c r="D312" s="48"/>
      <c r="E312" s="48"/>
      <c r="F312" s="48"/>
      <c r="G312" s="48"/>
      <c r="H312" s="48"/>
      <c r="I312" s="48"/>
      <c r="J312" s="48"/>
      <c r="K312" s="48"/>
      <c r="L312" s="48"/>
      <c r="M312" s="48"/>
      <c r="N312" s="48"/>
      <c r="O312" s="48"/>
      <c r="P312" s="48"/>
      <c r="Q312" s="48"/>
    </row>
    <row r="313" spans="2:17" s="46" customFormat="1" ht="15" customHeight="1">
      <c r="B313" s="47"/>
      <c r="C313" s="48"/>
      <c r="D313" s="48"/>
      <c r="E313" s="48"/>
      <c r="F313" s="48"/>
      <c r="G313" s="48"/>
      <c r="H313" s="48"/>
      <c r="I313" s="48"/>
      <c r="J313" s="48"/>
      <c r="K313" s="48"/>
      <c r="L313" s="48"/>
      <c r="M313" s="48"/>
      <c r="N313" s="48"/>
      <c r="O313" s="48"/>
      <c r="P313" s="48"/>
      <c r="Q313" s="48"/>
    </row>
    <row r="314" spans="2:17" s="46" customFormat="1" ht="15" customHeight="1">
      <c r="B314" s="47"/>
      <c r="C314" s="48"/>
      <c r="D314" s="48"/>
      <c r="E314" s="48"/>
      <c r="F314" s="48"/>
      <c r="G314" s="48"/>
      <c r="H314" s="48"/>
      <c r="I314" s="48"/>
      <c r="J314" s="48"/>
      <c r="K314" s="48"/>
      <c r="L314" s="48"/>
      <c r="M314" s="48"/>
      <c r="N314" s="48"/>
      <c r="O314" s="48"/>
      <c r="P314" s="48"/>
      <c r="Q314" s="48"/>
    </row>
    <row r="315" spans="2:17" s="46" customFormat="1" ht="15" customHeight="1">
      <c r="B315" s="47"/>
      <c r="C315" s="48"/>
      <c r="D315" s="48"/>
      <c r="E315" s="48"/>
      <c r="F315" s="48"/>
      <c r="G315" s="48"/>
      <c r="H315" s="48"/>
      <c r="I315" s="48"/>
      <c r="J315" s="48"/>
      <c r="K315" s="48"/>
      <c r="L315" s="48"/>
      <c r="M315" s="48"/>
      <c r="N315" s="48"/>
      <c r="O315" s="48"/>
      <c r="P315" s="48"/>
      <c r="Q315" s="48"/>
    </row>
    <row r="316" spans="2:17" s="46" customFormat="1" ht="15" customHeight="1">
      <c r="B316" s="47"/>
      <c r="C316" s="48"/>
      <c r="D316" s="48"/>
      <c r="E316" s="48"/>
      <c r="F316" s="48"/>
      <c r="G316" s="48"/>
      <c r="H316" s="48"/>
      <c r="I316" s="48"/>
      <c r="J316" s="48"/>
      <c r="K316" s="48"/>
      <c r="L316" s="48"/>
      <c r="M316" s="48"/>
      <c r="N316" s="48"/>
      <c r="O316" s="48"/>
      <c r="P316" s="48"/>
      <c r="Q316" s="48"/>
    </row>
    <row r="317" spans="2:17" s="46" customFormat="1" ht="15" customHeight="1">
      <c r="B317" s="47"/>
      <c r="C317" s="48"/>
      <c r="D317" s="48"/>
      <c r="E317" s="48"/>
      <c r="F317" s="48"/>
      <c r="G317" s="48"/>
      <c r="H317" s="48"/>
      <c r="I317" s="48"/>
      <c r="J317" s="48"/>
      <c r="K317" s="48"/>
      <c r="L317" s="48"/>
      <c r="M317" s="48"/>
      <c r="N317" s="48"/>
      <c r="O317" s="48"/>
      <c r="P317" s="48"/>
      <c r="Q317" s="48"/>
    </row>
    <row r="318" spans="2:17" s="46" customFormat="1" ht="15" customHeight="1">
      <c r="B318" s="47"/>
      <c r="C318" s="48"/>
      <c r="D318" s="48"/>
      <c r="E318" s="48"/>
      <c r="F318" s="48"/>
      <c r="G318" s="48"/>
      <c r="H318" s="48"/>
      <c r="I318" s="48"/>
      <c r="J318" s="48"/>
      <c r="K318" s="48"/>
      <c r="L318" s="48"/>
      <c r="M318" s="48"/>
      <c r="N318" s="48"/>
      <c r="O318" s="48"/>
      <c r="P318" s="48"/>
      <c r="Q318" s="48"/>
    </row>
    <row r="319" spans="2:17" s="46" customFormat="1" ht="15" customHeight="1">
      <c r="B319" s="47"/>
      <c r="C319" s="48"/>
      <c r="D319" s="48"/>
      <c r="E319" s="48"/>
      <c r="F319" s="48"/>
      <c r="G319" s="48"/>
      <c r="H319" s="48"/>
      <c r="I319" s="48"/>
      <c r="J319" s="48"/>
      <c r="K319" s="48"/>
      <c r="L319" s="48"/>
      <c r="M319" s="48"/>
      <c r="N319" s="48"/>
      <c r="O319" s="48"/>
      <c r="P319" s="48"/>
      <c r="Q319" s="48"/>
    </row>
    <row r="320" spans="2:17" s="46" customFormat="1" ht="15" customHeight="1">
      <c r="B320" s="47"/>
      <c r="C320" s="48"/>
      <c r="D320" s="48"/>
      <c r="E320" s="48"/>
      <c r="F320" s="48"/>
      <c r="G320" s="48"/>
      <c r="H320" s="48"/>
      <c r="I320" s="48"/>
      <c r="J320" s="48"/>
      <c r="K320" s="48"/>
      <c r="L320" s="48"/>
      <c r="M320" s="48"/>
      <c r="N320" s="48"/>
      <c r="O320" s="48"/>
      <c r="P320" s="48"/>
      <c r="Q320" s="48"/>
    </row>
    <row r="321" spans="2:17" s="46" customFormat="1" ht="15" customHeight="1">
      <c r="B321" s="47"/>
      <c r="C321" s="48"/>
      <c r="D321" s="48"/>
      <c r="E321" s="48"/>
      <c r="F321" s="48"/>
      <c r="G321" s="48"/>
      <c r="H321" s="48"/>
      <c r="I321" s="48"/>
      <c r="J321" s="48"/>
      <c r="K321" s="48"/>
      <c r="L321" s="48"/>
      <c r="M321" s="48"/>
      <c r="N321" s="48"/>
      <c r="O321" s="48"/>
      <c r="P321" s="48"/>
      <c r="Q321" s="48"/>
    </row>
    <row r="322" spans="2:17" s="46" customFormat="1" ht="15" customHeight="1">
      <c r="B322" s="47"/>
      <c r="C322" s="48"/>
      <c r="D322" s="48"/>
      <c r="E322" s="48"/>
      <c r="F322" s="48"/>
      <c r="G322" s="48"/>
      <c r="H322" s="48"/>
      <c r="I322" s="48"/>
      <c r="J322" s="48"/>
      <c r="K322" s="48"/>
      <c r="L322" s="48"/>
      <c r="M322" s="48"/>
      <c r="N322" s="48"/>
      <c r="O322" s="48"/>
      <c r="P322" s="48"/>
      <c r="Q322" s="48"/>
    </row>
    <row r="323" spans="2:17" s="46" customFormat="1" ht="15" customHeight="1">
      <c r="B323" s="47"/>
      <c r="C323" s="48"/>
      <c r="D323" s="48"/>
      <c r="E323" s="48"/>
      <c r="F323" s="48"/>
      <c r="G323" s="48"/>
      <c r="H323" s="48"/>
      <c r="I323" s="48"/>
      <c r="J323" s="48"/>
      <c r="K323" s="48"/>
      <c r="L323" s="48"/>
      <c r="M323" s="48"/>
      <c r="N323" s="48"/>
      <c r="O323" s="48"/>
      <c r="P323" s="48"/>
      <c r="Q323" s="48"/>
    </row>
    <row r="324" spans="2:17" s="46" customFormat="1" ht="15" customHeight="1">
      <c r="B324" s="47"/>
      <c r="C324" s="48"/>
      <c r="D324" s="48"/>
      <c r="E324" s="48"/>
      <c r="F324" s="48"/>
      <c r="G324" s="48"/>
      <c r="H324" s="48"/>
      <c r="I324" s="48"/>
      <c r="J324" s="48"/>
      <c r="K324" s="48"/>
      <c r="L324" s="48"/>
      <c r="M324" s="48"/>
      <c r="N324" s="48"/>
      <c r="O324" s="48"/>
      <c r="P324" s="48"/>
      <c r="Q324" s="48"/>
    </row>
    <row r="325" spans="2:17" s="46" customFormat="1" ht="15" customHeight="1">
      <c r="B325" s="47"/>
      <c r="C325" s="48"/>
      <c r="D325" s="48"/>
      <c r="E325" s="48"/>
      <c r="F325" s="48"/>
      <c r="G325" s="48"/>
      <c r="H325" s="48"/>
      <c r="I325" s="48"/>
      <c r="J325" s="48"/>
      <c r="K325" s="48"/>
      <c r="L325" s="48"/>
      <c r="M325" s="48"/>
      <c r="N325" s="48"/>
      <c r="O325" s="48"/>
      <c r="P325" s="48"/>
      <c r="Q325" s="48"/>
    </row>
    <row r="326" spans="2:17" s="46" customFormat="1" ht="15" customHeight="1">
      <c r="B326" s="47"/>
      <c r="C326" s="48"/>
      <c r="D326" s="48"/>
      <c r="E326" s="48"/>
      <c r="F326" s="48"/>
      <c r="G326" s="48"/>
      <c r="H326" s="48"/>
      <c r="I326" s="48"/>
      <c r="J326" s="48"/>
      <c r="K326" s="48"/>
      <c r="L326" s="48"/>
      <c r="M326" s="48"/>
      <c r="N326" s="48"/>
      <c r="O326" s="48"/>
      <c r="P326" s="48"/>
      <c r="Q326" s="48"/>
    </row>
    <row r="327" spans="2:17" s="46" customFormat="1" ht="15" customHeight="1">
      <c r="B327" s="47"/>
      <c r="C327" s="48"/>
      <c r="D327" s="48"/>
      <c r="E327" s="48"/>
      <c r="F327" s="48"/>
      <c r="G327" s="48"/>
      <c r="H327" s="48"/>
      <c r="I327" s="48"/>
      <c r="J327" s="48"/>
      <c r="K327" s="48"/>
      <c r="L327" s="48"/>
      <c r="M327" s="48"/>
      <c r="N327" s="48"/>
      <c r="O327" s="48"/>
      <c r="P327" s="48"/>
      <c r="Q327" s="48"/>
    </row>
    <row r="328" spans="2:17" s="46" customFormat="1" ht="15" customHeight="1">
      <c r="B328" s="47"/>
      <c r="C328" s="48"/>
      <c r="D328" s="48"/>
      <c r="E328" s="48"/>
      <c r="F328" s="48"/>
      <c r="G328" s="48"/>
      <c r="H328" s="48"/>
      <c r="I328" s="48"/>
      <c r="J328" s="48"/>
      <c r="K328" s="48"/>
      <c r="L328" s="48"/>
      <c r="M328" s="48"/>
      <c r="N328" s="48"/>
      <c r="O328" s="48"/>
      <c r="P328" s="48"/>
      <c r="Q328" s="48"/>
    </row>
    <row r="329" spans="2:17" s="46" customFormat="1" ht="15" customHeight="1">
      <c r="B329" s="47"/>
      <c r="C329" s="48"/>
      <c r="D329" s="48"/>
      <c r="E329" s="48"/>
      <c r="F329" s="48"/>
      <c r="G329" s="48"/>
      <c r="H329" s="48"/>
      <c r="I329" s="48"/>
      <c r="J329" s="48"/>
      <c r="K329" s="48"/>
      <c r="L329" s="48"/>
      <c r="M329" s="48"/>
      <c r="N329" s="48"/>
      <c r="O329" s="48"/>
      <c r="P329" s="48"/>
      <c r="Q329" s="48"/>
    </row>
    <row r="330" spans="2:17" s="46" customFormat="1" ht="15" customHeight="1">
      <c r="B330" s="47"/>
      <c r="C330" s="48"/>
      <c r="D330" s="48"/>
      <c r="E330" s="48"/>
      <c r="F330" s="48"/>
      <c r="G330" s="48"/>
      <c r="H330" s="48"/>
      <c r="I330" s="48"/>
      <c r="J330" s="48"/>
      <c r="K330" s="48"/>
      <c r="L330" s="48"/>
      <c r="M330" s="48"/>
      <c r="N330" s="48"/>
      <c r="O330" s="48"/>
      <c r="P330" s="48"/>
      <c r="Q330" s="48"/>
    </row>
    <row r="331" spans="2:17" s="46" customFormat="1" ht="15" customHeight="1">
      <c r="B331" s="47"/>
      <c r="C331" s="48"/>
      <c r="D331" s="48"/>
      <c r="E331" s="48"/>
      <c r="F331" s="48"/>
      <c r="G331" s="48"/>
      <c r="H331" s="48"/>
      <c r="I331" s="48"/>
      <c r="J331" s="48"/>
      <c r="K331" s="48"/>
      <c r="L331" s="48"/>
      <c r="M331" s="48"/>
      <c r="N331" s="48"/>
      <c r="O331" s="48"/>
      <c r="P331" s="48"/>
      <c r="Q331" s="48"/>
    </row>
    <row r="332" spans="2:17" s="46" customFormat="1" ht="15" customHeight="1">
      <c r="B332" s="47"/>
      <c r="C332" s="48"/>
      <c r="D332" s="48"/>
      <c r="E332" s="48"/>
      <c r="F332" s="48"/>
      <c r="G332" s="48"/>
      <c r="H332" s="48"/>
      <c r="I332" s="48"/>
      <c r="J332" s="48"/>
      <c r="K332" s="48"/>
      <c r="L332" s="48"/>
      <c r="M332" s="48"/>
      <c r="N332" s="48"/>
      <c r="O332" s="48"/>
      <c r="P332" s="48"/>
      <c r="Q332" s="48"/>
    </row>
    <row r="333" spans="2:17" s="46" customFormat="1" ht="15" customHeight="1">
      <c r="B333" s="47"/>
      <c r="C333" s="48"/>
      <c r="D333" s="48"/>
      <c r="E333" s="48"/>
      <c r="F333" s="48"/>
      <c r="G333" s="48"/>
      <c r="H333" s="48"/>
      <c r="I333" s="48"/>
      <c r="J333" s="48"/>
      <c r="K333" s="48"/>
      <c r="L333" s="48"/>
      <c r="M333" s="48"/>
      <c r="N333" s="48"/>
      <c r="O333" s="48"/>
      <c r="P333" s="48"/>
      <c r="Q333" s="48"/>
    </row>
    <row r="334" spans="2:17" s="46" customFormat="1" ht="15" customHeight="1">
      <c r="B334" s="47"/>
      <c r="C334" s="48"/>
      <c r="D334" s="48"/>
      <c r="E334" s="48"/>
      <c r="F334" s="48"/>
      <c r="G334" s="48"/>
      <c r="H334" s="48"/>
      <c r="I334" s="48"/>
      <c r="J334" s="48"/>
      <c r="K334" s="48"/>
      <c r="L334" s="48"/>
      <c r="M334" s="48"/>
      <c r="N334" s="48"/>
      <c r="O334" s="48"/>
      <c r="P334" s="48"/>
      <c r="Q334" s="48"/>
    </row>
    <row r="335" spans="2:17" s="46" customFormat="1" ht="15" customHeight="1">
      <c r="B335" s="47"/>
      <c r="C335" s="48"/>
      <c r="D335" s="48"/>
      <c r="E335" s="48"/>
      <c r="F335" s="48"/>
      <c r="G335" s="48"/>
      <c r="H335" s="48"/>
      <c r="I335" s="48"/>
      <c r="J335" s="48"/>
      <c r="K335" s="48"/>
      <c r="L335" s="48"/>
      <c r="M335" s="48"/>
      <c r="N335" s="48"/>
      <c r="O335" s="48"/>
      <c r="P335" s="48"/>
      <c r="Q335" s="48"/>
    </row>
    <row r="336" spans="2:17" s="46" customFormat="1" ht="15" customHeight="1">
      <c r="B336" s="47"/>
      <c r="C336" s="48"/>
      <c r="D336" s="48"/>
      <c r="E336" s="48"/>
      <c r="F336" s="48"/>
      <c r="G336" s="48"/>
      <c r="H336" s="48"/>
      <c r="I336" s="48"/>
      <c r="J336" s="48"/>
      <c r="K336" s="48"/>
      <c r="L336" s="48"/>
      <c r="M336" s="48"/>
      <c r="N336" s="48"/>
      <c r="O336" s="48"/>
      <c r="P336" s="48"/>
      <c r="Q336" s="48"/>
    </row>
    <row r="337" spans="2:17" s="46" customFormat="1" ht="15" customHeight="1">
      <c r="B337" s="47"/>
      <c r="C337" s="48"/>
      <c r="D337" s="48"/>
      <c r="E337" s="48"/>
      <c r="F337" s="48"/>
      <c r="G337" s="48"/>
      <c r="H337" s="48"/>
      <c r="I337" s="48"/>
      <c r="J337" s="48"/>
      <c r="K337" s="48"/>
      <c r="L337" s="48"/>
      <c r="M337" s="48"/>
      <c r="N337" s="48"/>
      <c r="O337" s="48"/>
      <c r="P337" s="48"/>
      <c r="Q337" s="48"/>
    </row>
    <row r="338" spans="2:17" s="46" customFormat="1" ht="15" customHeight="1">
      <c r="B338" s="47"/>
      <c r="C338" s="48"/>
      <c r="D338" s="48"/>
      <c r="E338" s="48"/>
      <c r="F338" s="48"/>
      <c r="G338" s="48"/>
      <c r="H338" s="48"/>
      <c r="I338" s="48"/>
      <c r="J338" s="48"/>
      <c r="K338" s="48"/>
      <c r="L338" s="48"/>
      <c r="M338" s="48"/>
      <c r="N338" s="48"/>
      <c r="O338" s="48"/>
      <c r="P338" s="48"/>
      <c r="Q338" s="48"/>
    </row>
    <row r="339" spans="2:17" s="46" customFormat="1" ht="15" customHeight="1">
      <c r="B339" s="47"/>
      <c r="C339" s="48"/>
      <c r="D339" s="48"/>
      <c r="E339" s="48"/>
      <c r="F339" s="48"/>
      <c r="G339" s="48"/>
      <c r="H339" s="48"/>
      <c r="I339" s="48"/>
      <c r="J339" s="48"/>
      <c r="K339" s="48"/>
      <c r="L339" s="48"/>
      <c r="M339" s="48"/>
      <c r="N339" s="48"/>
      <c r="O339" s="48"/>
      <c r="P339" s="48"/>
      <c r="Q339" s="48"/>
    </row>
    <row r="340" spans="2:17" s="46" customFormat="1" ht="15" customHeight="1">
      <c r="B340" s="47"/>
      <c r="C340" s="48"/>
      <c r="D340" s="48"/>
      <c r="E340" s="48"/>
      <c r="F340" s="48"/>
      <c r="G340" s="48"/>
      <c r="H340" s="48"/>
      <c r="I340" s="48"/>
      <c r="J340" s="48"/>
      <c r="K340" s="48"/>
      <c r="L340" s="48"/>
      <c r="M340" s="48"/>
      <c r="N340" s="48"/>
      <c r="O340" s="48"/>
      <c r="P340" s="48"/>
      <c r="Q340" s="48"/>
    </row>
    <row r="341" spans="2:17" s="46" customFormat="1" ht="15" customHeight="1">
      <c r="B341" s="47"/>
      <c r="C341" s="48"/>
      <c r="D341" s="48"/>
      <c r="E341" s="48"/>
      <c r="F341" s="48"/>
      <c r="G341" s="48"/>
      <c r="H341" s="48"/>
      <c r="I341" s="48"/>
      <c r="J341" s="48"/>
      <c r="K341" s="48"/>
      <c r="L341" s="48"/>
      <c r="M341" s="48"/>
      <c r="N341" s="48"/>
      <c r="O341" s="48"/>
      <c r="P341" s="48"/>
      <c r="Q341" s="48"/>
    </row>
    <row r="342" spans="2:17" s="46" customFormat="1" ht="15" customHeight="1">
      <c r="B342" s="47"/>
      <c r="C342" s="48"/>
      <c r="D342" s="48"/>
      <c r="E342" s="48"/>
      <c r="F342" s="48"/>
      <c r="G342" s="48"/>
      <c r="H342" s="48"/>
      <c r="I342" s="48"/>
      <c r="J342" s="48"/>
      <c r="K342" s="48"/>
      <c r="L342" s="48"/>
      <c r="M342" s="48"/>
      <c r="N342" s="48"/>
      <c r="O342" s="48"/>
      <c r="P342" s="48"/>
      <c r="Q342" s="48"/>
    </row>
    <row r="343" spans="2:17" s="46" customFormat="1" ht="15" customHeight="1">
      <c r="B343" s="47"/>
      <c r="C343" s="48"/>
      <c r="D343" s="48"/>
      <c r="E343" s="48"/>
      <c r="F343" s="48"/>
      <c r="G343" s="48"/>
      <c r="H343" s="48"/>
      <c r="I343" s="48"/>
      <c r="J343" s="48"/>
      <c r="K343" s="48"/>
      <c r="L343" s="48"/>
      <c r="M343" s="48"/>
      <c r="N343" s="48"/>
      <c r="O343" s="48"/>
      <c r="P343" s="48"/>
      <c r="Q343" s="48"/>
    </row>
    <row r="344" spans="2:17" s="46" customFormat="1" ht="15" customHeight="1">
      <c r="B344" s="47"/>
      <c r="C344" s="48"/>
      <c r="D344" s="48"/>
      <c r="E344" s="48"/>
      <c r="F344" s="48"/>
      <c r="G344" s="48"/>
      <c r="H344" s="48"/>
      <c r="I344" s="48"/>
      <c r="J344" s="48"/>
      <c r="K344" s="48"/>
      <c r="L344" s="48"/>
      <c r="M344" s="48"/>
      <c r="N344" s="48"/>
      <c r="O344" s="48"/>
      <c r="P344" s="48"/>
      <c r="Q344" s="48"/>
    </row>
    <row r="345" spans="2:17" s="46" customFormat="1" ht="15" customHeight="1">
      <c r="B345" s="47"/>
      <c r="C345" s="48"/>
      <c r="D345" s="48"/>
      <c r="E345" s="48"/>
      <c r="F345" s="48"/>
      <c r="G345" s="48"/>
      <c r="H345" s="48"/>
      <c r="I345" s="48"/>
      <c r="J345" s="48"/>
      <c r="K345" s="48"/>
      <c r="L345" s="48"/>
      <c r="M345" s="48"/>
      <c r="N345" s="48"/>
      <c r="O345" s="48"/>
      <c r="P345" s="48"/>
      <c r="Q345" s="48"/>
    </row>
    <row r="346" spans="2:17" s="46" customFormat="1" ht="15" customHeight="1">
      <c r="B346" s="47"/>
      <c r="C346" s="48"/>
      <c r="D346" s="48"/>
      <c r="E346" s="48"/>
      <c r="F346" s="48"/>
      <c r="G346" s="48"/>
      <c r="H346" s="48"/>
      <c r="I346" s="48"/>
      <c r="J346" s="48"/>
      <c r="K346" s="48"/>
      <c r="L346" s="48"/>
      <c r="M346" s="48"/>
      <c r="N346" s="48"/>
      <c r="O346" s="48"/>
      <c r="P346" s="48"/>
      <c r="Q346" s="48"/>
    </row>
    <row r="347" spans="2:17" s="46" customFormat="1" ht="15" customHeight="1">
      <c r="B347" s="47"/>
      <c r="C347" s="48"/>
      <c r="D347" s="48"/>
      <c r="E347" s="48"/>
      <c r="F347" s="48"/>
      <c r="G347" s="48"/>
      <c r="H347" s="48"/>
      <c r="I347" s="48"/>
      <c r="J347" s="48"/>
      <c r="K347" s="48"/>
      <c r="L347" s="48"/>
      <c r="M347" s="48"/>
      <c r="N347" s="48"/>
      <c r="O347" s="48"/>
      <c r="P347" s="48"/>
      <c r="Q347" s="48"/>
    </row>
    <row r="348" spans="2:17" s="46" customFormat="1" ht="15" customHeight="1">
      <c r="B348" s="47"/>
      <c r="C348" s="48"/>
      <c r="D348" s="48"/>
      <c r="E348" s="48"/>
      <c r="F348" s="48"/>
      <c r="G348" s="48"/>
      <c r="H348" s="48"/>
      <c r="I348" s="48"/>
      <c r="J348" s="48"/>
      <c r="K348" s="48"/>
      <c r="L348" s="48"/>
      <c r="M348" s="48"/>
      <c r="N348" s="48"/>
      <c r="O348" s="48"/>
      <c r="P348" s="48"/>
      <c r="Q348" s="48"/>
    </row>
    <row r="349" spans="2:17" s="46" customFormat="1" ht="15" customHeight="1">
      <c r="B349" s="47"/>
      <c r="C349" s="48"/>
      <c r="D349" s="48"/>
      <c r="E349" s="48"/>
      <c r="F349" s="48"/>
      <c r="G349" s="48"/>
      <c r="H349" s="48"/>
      <c r="I349" s="48"/>
      <c r="J349" s="48"/>
      <c r="K349" s="48"/>
      <c r="L349" s="48"/>
      <c r="M349" s="48"/>
      <c r="N349" s="48"/>
      <c r="O349" s="48"/>
      <c r="P349" s="48"/>
      <c r="Q349" s="48"/>
    </row>
    <row r="350" spans="2:17" s="46" customFormat="1" ht="15" customHeight="1">
      <c r="B350" s="47"/>
      <c r="C350" s="48"/>
      <c r="D350" s="48"/>
      <c r="E350" s="48"/>
      <c r="F350" s="48"/>
      <c r="G350" s="48"/>
      <c r="H350" s="48"/>
      <c r="I350" s="48"/>
      <c r="J350" s="48"/>
      <c r="K350" s="48"/>
      <c r="L350" s="48"/>
      <c r="M350" s="48"/>
      <c r="N350" s="48"/>
      <c r="O350" s="48"/>
      <c r="P350" s="48"/>
      <c r="Q350" s="48"/>
    </row>
    <row r="351" spans="2:17" s="46" customFormat="1" ht="15" customHeight="1">
      <c r="B351" s="47"/>
      <c r="C351" s="48"/>
      <c r="D351" s="48"/>
      <c r="E351" s="48"/>
      <c r="F351" s="48"/>
      <c r="G351" s="48"/>
      <c r="H351" s="48"/>
      <c r="I351" s="48"/>
      <c r="J351" s="48"/>
      <c r="K351" s="48"/>
      <c r="L351" s="48"/>
      <c r="M351" s="48"/>
      <c r="N351" s="48"/>
      <c r="O351" s="48"/>
      <c r="P351" s="48"/>
      <c r="Q351" s="48"/>
    </row>
    <row r="352" spans="2:17" s="46" customFormat="1" ht="15" customHeight="1">
      <c r="B352" s="47"/>
      <c r="C352" s="48"/>
      <c r="D352" s="48"/>
      <c r="E352" s="48"/>
      <c r="F352" s="48"/>
      <c r="G352" s="48"/>
      <c r="H352" s="48"/>
      <c r="I352" s="48"/>
      <c r="J352" s="48"/>
      <c r="K352" s="48"/>
      <c r="L352" s="48"/>
      <c r="M352" s="48"/>
      <c r="N352" s="48"/>
      <c r="O352" s="48"/>
      <c r="P352" s="48"/>
      <c r="Q352" s="48"/>
    </row>
    <row r="353" spans="2:17" s="46" customFormat="1" ht="15" customHeight="1">
      <c r="B353" s="47"/>
      <c r="C353" s="48"/>
      <c r="D353" s="48"/>
      <c r="E353" s="48"/>
      <c r="F353" s="48"/>
      <c r="G353" s="48"/>
      <c r="H353" s="48"/>
      <c r="I353" s="48"/>
      <c r="J353" s="48"/>
      <c r="K353" s="48"/>
      <c r="L353" s="48"/>
      <c r="M353" s="48"/>
      <c r="N353" s="48"/>
      <c r="O353" s="48"/>
      <c r="P353" s="48"/>
      <c r="Q353" s="48"/>
    </row>
    <row r="354" spans="2:17" s="46" customFormat="1" ht="15" customHeight="1">
      <c r="B354" s="47"/>
      <c r="C354" s="48"/>
      <c r="D354" s="48"/>
      <c r="E354" s="48"/>
      <c r="F354" s="48"/>
      <c r="G354" s="48"/>
      <c r="H354" s="48"/>
      <c r="I354" s="48"/>
      <c r="J354" s="48"/>
      <c r="K354" s="48"/>
      <c r="L354" s="48"/>
      <c r="M354" s="48"/>
      <c r="N354" s="48"/>
      <c r="O354" s="48"/>
      <c r="P354" s="48"/>
      <c r="Q354" s="48"/>
    </row>
    <row r="355" spans="2:17" s="46" customFormat="1" ht="15" customHeight="1">
      <c r="B355" s="47"/>
      <c r="C355" s="48"/>
      <c r="D355" s="48"/>
      <c r="E355" s="48"/>
      <c r="F355" s="48"/>
      <c r="G355" s="48"/>
      <c r="H355" s="48"/>
      <c r="I355" s="48"/>
      <c r="J355" s="48"/>
      <c r="K355" s="48"/>
      <c r="L355" s="48"/>
      <c r="M355" s="48"/>
      <c r="N355" s="48"/>
      <c r="O355" s="48"/>
      <c r="P355" s="48"/>
      <c r="Q355" s="48"/>
    </row>
    <row r="356" spans="2:17" s="46" customFormat="1" ht="15" customHeight="1">
      <c r="B356" s="47"/>
      <c r="C356" s="48"/>
      <c r="D356" s="48"/>
      <c r="E356" s="48"/>
      <c r="F356" s="48"/>
      <c r="G356" s="48"/>
      <c r="H356" s="48"/>
      <c r="I356" s="48"/>
      <c r="J356" s="48"/>
      <c r="K356" s="48"/>
      <c r="L356" s="48"/>
      <c r="M356" s="48"/>
      <c r="N356" s="48"/>
      <c r="O356" s="48"/>
      <c r="P356" s="48"/>
      <c r="Q356" s="48"/>
    </row>
    <row r="357" spans="2:17" s="46" customFormat="1" ht="15" customHeight="1">
      <c r="B357" s="47"/>
      <c r="C357" s="48"/>
      <c r="D357" s="48"/>
      <c r="E357" s="48"/>
      <c r="F357" s="48"/>
      <c r="G357" s="48"/>
      <c r="H357" s="48"/>
      <c r="I357" s="48"/>
      <c r="J357" s="48"/>
      <c r="K357" s="48"/>
      <c r="L357" s="48"/>
      <c r="M357" s="48"/>
      <c r="N357" s="48"/>
      <c r="O357" s="48"/>
      <c r="P357" s="48"/>
      <c r="Q357" s="48"/>
    </row>
    <row r="358" spans="2:17" s="46" customFormat="1" ht="15" customHeight="1">
      <c r="B358" s="47"/>
      <c r="C358" s="48"/>
      <c r="D358" s="48"/>
      <c r="E358" s="48"/>
      <c r="F358" s="48"/>
      <c r="G358" s="48"/>
      <c r="H358" s="48"/>
      <c r="I358" s="48"/>
      <c r="J358" s="48"/>
      <c r="K358" s="48"/>
      <c r="L358" s="48"/>
      <c r="M358" s="48"/>
      <c r="N358" s="48"/>
      <c r="O358" s="48"/>
      <c r="P358" s="48"/>
      <c r="Q358" s="48"/>
    </row>
    <row r="359" spans="2:17" s="46" customFormat="1" ht="15" customHeight="1">
      <c r="B359" s="47"/>
      <c r="C359" s="48"/>
      <c r="D359" s="48"/>
      <c r="E359" s="48"/>
      <c r="F359" s="48"/>
      <c r="G359" s="48"/>
      <c r="H359" s="48"/>
      <c r="I359" s="48"/>
      <c r="J359" s="48"/>
      <c r="K359" s="48"/>
      <c r="L359" s="48"/>
      <c r="M359" s="48"/>
      <c r="N359" s="48"/>
      <c r="O359" s="48"/>
      <c r="P359" s="48"/>
      <c r="Q359" s="48"/>
    </row>
    <row r="360" spans="2:17" s="46" customFormat="1" ht="15" customHeight="1">
      <c r="B360" s="47"/>
      <c r="C360" s="48"/>
      <c r="D360" s="48"/>
      <c r="E360" s="48"/>
      <c r="F360" s="48"/>
      <c r="G360" s="48"/>
      <c r="H360" s="48"/>
      <c r="I360" s="48"/>
      <c r="J360" s="48"/>
      <c r="K360" s="48"/>
      <c r="L360" s="48"/>
      <c r="M360" s="48"/>
      <c r="N360" s="48"/>
      <c r="O360" s="48"/>
      <c r="P360" s="48"/>
      <c r="Q360" s="48"/>
    </row>
    <row r="361" spans="2:17" s="46" customFormat="1" ht="15" customHeight="1">
      <c r="B361" s="47"/>
      <c r="C361" s="48"/>
      <c r="D361" s="48"/>
      <c r="E361" s="48"/>
      <c r="F361" s="48"/>
      <c r="G361" s="48"/>
      <c r="H361" s="48"/>
      <c r="I361" s="48"/>
      <c r="J361" s="48"/>
      <c r="K361" s="48"/>
      <c r="L361" s="48"/>
      <c r="M361" s="48"/>
      <c r="N361" s="48"/>
      <c r="O361" s="48"/>
      <c r="P361" s="48"/>
      <c r="Q361" s="48"/>
    </row>
    <row r="362" spans="2:17" s="46" customFormat="1" ht="15" customHeight="1">
      <c r="B362" s="47"/>
      <c r="C362" s="48"/>
      <c r="D362" s="48"/>
      <c r="E362" s="48"/>
      <c r="F362" s="48"/>
      <c r="G362" s="48"/>
      <c r="H362" s="48"/>
      <c r="I362" s="48"/>
      <c r="J362" s="48"/>
      <c r="K362" s="48"/>
      <c r="L362" s="48"/>
      <c r="M362" s="48"/>
      <c r="N362" s="48"/>
      <c r="O362" s="48"/>
      <c r="P362" s="48"/>
      <c r="Q362" s="48"/>
    </row>
    <row r="363" spans="2:17" s="46" customFormat="1" ht="15" customHeight="1">
      <c r="B363" s="47"/>
      <c r="C363" s="48"/>
      <c r="D363" s="48"/>
      <c r="E363" s="48"/>
      <c r="F363" s="48"/>
      <c r="G363" s="48"/>
      <c r="H363" s="48"/>
      <c r="I363" s="48"/>
      <c r="J363" s="48"/>
      <c r="K363" s="48"/>
      <c r="L363" s="48"/>
      <c r="M363" s="48"/>
      <c r="N363" s="48"/>
      <c r="O363" s="48"/>
      <c r="P363" s="48"/>
      <c r="Q363" s="48"/>
    </row>
    <row r="364" spans="2:17" s="46" customFormat="1" ht="15" customHeight="1">
      <c r="B364" s="47"/>
      <c r="C364" s="48"/>
      <c r="D364" s="48"/>
      <c r="E364" s="48"/>
      <c r="F364" s="48"/>
      <c r="G364" s="48"/>
      <c r="H364" s="48"/>
      <c r="I364" s="48"/>
      <c r="J364" s="48"/>
      <c r="K364" s="48"/>
      <c r="L364" s="48"/>
      <c r="M364" s="48"/>
      <c r="N364" s="48"/>
      <c r="O364" s="48"/>
      <c r="P364" s="48"/>
      <c r="Q364" s="48"/>
    </row>
    <row r="365" spans="2:17" s="46" customFormat="1" ht="15" customHeight="1">
      <c r="B365" s="47"/>
      <c r="C365" s="48"/>
      <c r="D365" s="48"/>
      <c r="E365" s="48"/>
      <c r="F365" s="48"/>
      <c r="G365" s="48"/>
      <c r="H365" s="48"/>
      <c r="I365" s="48"/>
      <c r="J365" s="48"/>
      <c r="K365" s="48"/>
      <c r="L365" s="48"/>
      <c r="M365" s="48"/>
      <c r="N365" s="48"/>
      <c r="O365" s="48"/>
      <c r="P365" s="48"/>
      <c r="Q365" s="48"/>
    </row>
    <row r="366" spans="2:17" s="46" customFormat="1" ht="15" customHeight="1">
      <c r="B366" s="47"/>
      <c r="C366" s="48"/>
      <c r="D366" s="48"/>
      <c r="E366" s="48"/>
      <c r="F366" s="48"/>
      <c r="G366" s="48"/>
      <c r="H366" s="48"/>
      <c r="I366" s="48"/>
      <c r="J366" s="48"/>
      <c r="K366" s="48"/>
      <c r="L366" s="48"/>
      <c r="M366" s="48"/>
      <c r="N366" s="48"/>
      <c r="O366" s="48"/>
      <c r="P366" s="48"/>
      <c r="Q366" s="48"/>
    </row>
    <row r="367" spans="2:17" s="46" customFormat="1" ht="15" customHeight="1">
      <c r="B367" s="47"/>
      <c r="C367" s="48"/>
      <c r="D367" s="48"/>
      <c r="E367" s="48"/>
      <c r="F367" s="48"/>
      <c r="G367" s="48"/>
      <c r="H367" s="48"/>
      <c r="I367" s="48"/>
      <c r="J367" s="48"/>
      <c r="K367" s="48"/>
      <c r="L367" s="48"/>
      <c r="M367" s="48"/>
      <c r="N367" s="48"/>
      <c r="O367" s="48"/>
      <c r="P367" s="48"/>
      <c r="Q367" s="48"/>
    </row>
    <row r="368" spans="2:17" s="46" customFormat="1" ht="15" customHeight="1">
      <c r="B368" s="47"/>
      <c r="C368" s="48"/>
      <c r="D368" s="48"/>
      <c r="E368" s="48"/>
      <c r="F368" s="48"/>
      <c r="G368" s="48"/>
      <c r="H368" s="48"/>
      <c r="I368" s="48"/>
      <c r="J368" s="48"/>
      <c r="K368" s="48"/>
      <c r="L368" s="48"/>
      <c r="M368" s="48"/>
      <c r="N368" s="48"/>
      <c r="O368" s="48"/>
      <c r="P368" s="48"/>
      <c r="Q368" s="48"/>
    </row>
    <row r="369" spans="2:17" s="46" customFormat="1" ht="15" customHeight="1">
      <c r="B369" s="47"/>
      <c r="C369" s="48"/>
      <c r="D369" s="48"/>
      <c r="E369" s="48"/>
      <c r="F369" s="48"/>
      <c r="G369" s="48"/>
      <c r="H369" s="48"/>
      <c r="I369" s="48"/>
      <c r="J369" s="48"/>
      <c r="K369" s="48"/>
      <c r="L369" s="48"/>
      <c r="M369" s="48"/>
      <c r="N369" s="48"/>
      <c r="O369" s="48"/>
      <c r="P369" s="48"/>
      <c r="Q369" s="48"/>
    </row>
    <row r="370" spans="2:17" s="46" customFormat="1" ht="15" customHeight="1">
      <c r="B370" s="47"/>
      <c r="C370" s="48"/>
      <c r="D370" s="48"/>
      <c r="E370" s="48"/>
      <c r="F370" s="48"/>
      <c r="G370" s="48"/>
      <c r="H370" s="48"/>
      <c r="I370" s="48"/>
      <c r="J370" s="48"/>
      <c r="K370" s="48"/>
      <c r="L370" s="48"/>
      <c r="M370" s="48"/>
      <c r="N370" s="48"/>
      <c r="O370" s="48"/>
      <c r="P370" s="48"/>
      <c r="Q370" s="48"/>
    </row>
    <row r="371" spans="2:17" s="46" customFormat="1" ht="15" customHeight="1">
      <c r="B371" s="47"/>
      <c r="C371" s="48"/>
      <c r="D371" s="48"/>
      <c r="E371" s="48"/>
      <c r="F371" s="48"/>
      <c r="G371" s="48"/>
      <c r="H371" s="48"/>
      <c r="I371" s="48"/>
      <c r="J371" s="48"/>
      <c r="K371" s="48"/>
      <c r="L371" s="48"/>
      <c r="M371" s="48"/>
      <c r="N371" s="48"/>
      <c r="O371" s="48"/>
      <c r="P371" s="48"/>
      <c r="Q371" s="48"/>
    </row>
    <row r="372" spans="2:17" s="46" customFormat="1" ht="15" customHeight="1">
      <c r="B372" s="47"/>
      <c r="C372" s="48"/>
      <c r="D372" s="48"/>
      <c r="E372" s="48"/>
      <c r="F372" s="48"/>
      <c r="G372" s="48"/>
      <c r="H372" s="48"/>
      <c r="I372" s="48"/>
      <c r="J372" s="48"/>
      <c r="K372" s="48"/>
      <c r="L372" s="48"/>
      <c r="M372" s="48"/>
      <c r="N372" s="48"/>
      <c r="O372" s="48"/>
      <c r="P372" s="48"/>
      <c r="Q372" s="48"/>
    </row>
    <row r="373" spans="2:17" s="46" customFormat="1" ht="15" customHeight="1">
      <c r="B373" s="47"/>
      <c r="C373" s="48"/>
      <c r="D373" s="48"/>
      <c r="E373" s="48"/>
      <c r="F373" s="48"/>
      <c r="G373" s="48"/>
      <c r="H373" s="48"/>
      <c r="I373" s="48"/>
      <c r="J373" s="48"/>
      <c r="K373" s="48"/>
      <c r="L373" s="48"/>
      <c r="M373" s="48"/>
      <c r="N373" s="48"/>
      <c r="O373" s="48"/>
      <c r="P373" s="48"/>
      <c r="Q373" s="48"/>
    </row>
    <row r="374" spans="2:17" s="46" customFormat="1" ht="15" customHeight="1">
      <c r="B374" s="47"/>
      <c r="C374" s="48"/>
      <c r="D374" s="48"/>
      <c r="E374" s="48"/>
      <c r="F374" s="48"/>
      <c r="G374" s="48"/>
      <c r="H374" s="48"/>
      <c r="I374" s="48"/>
      <c r="J374" s="48"/>
      <c r="K374" s="48"/>
      <c r="L374" s="48"/>
      <c r="M374" s="48"/>
      <c r="N374" s="48"/>
      <c r="O374" s="48"/>
      <c r="P374" s="48"/>
      <c r="Q374" s="48"/>
    </row>
    <row r="375" spans="2:17" s="46" customFormat="1" ht="15" customHeight="1">
      <c r="B375" s="47"/>
      <c r="C375" s="48"/>
      <c r="D375" s="48"/>
      <c r="E375" s="48"/>
      <c r="F375" s="48"/>
      <c r="G375" s="48"/>
      <c r="H375" s="48"/>
      <c r="I375" s="48"/>
      <c r="J375" s="48"/>
      <c r="K375" s="48"/>
      <c r="L375" s="48"/>
      <c r="M375" s="48"/>
      <c r="N375" s="48"/>
      <c r="O375" s="48"/>
      <c r="P375" s="48"/>
      <c r="Q375" s="48"/>
    </row>
    <row r="376" spans="2:17" s="46" customFormat="1" ht="15" customHeight="1">
      <c r="B376" s="47"/>
      <c r="C376" s="48"/>
      <c r="D376" s="48"/>
      <c r="E376" s="48"/>
      <c r="F376" s="48"/>
      <c r="G376" s="48"/>
      <c r="H376" s="48"/>
      <c r="I376" s="48"/>
      <c r="J376" s="48"/>
      <c r="K376" s="48"/>
      <c r="L376" s="48"/>
      <c r="M376" s="48"/>
      <c r="N376" s="48"/>
      <c r="O376" s="48"/>
      <c r="P376" s="48"/>
      <c r="Q376" s="48"/>
    </row>
    <row r="377" spans="2:17" s="46" customFormat="1" ht="15" customHeight="1">
      <c r="B377" s="47"/>
      <c r="C377" s="48"/>
      <c r="D377" s="48"/>
      <c r="E377" s="48"/>
      <c r="F377" s="48"/>
      <c r="G377" s="48"/>
      <c r="H377" s="48"/>
      <c r="I377" s="48"/>
      <c r="J377" s="48"/>
      <c r="K377" s="48"/>
      <c r="L377" s="48"/>
      <c r="M377" s="48"/>
      <c r="N377" s="48"/>
      <c r="O377" s="48"/>
      <c r="P377" s="48"/>
      <c r="Q377" s="48"/>
    </row>
    <row r="378" spans="2:17" s="46" customFormat="1" ht="15" customHeight="1">
      <c r="B378" s="47"/>
      <c r="C378" s="48"/>
      <c r="D378" s="48"/>
      <c r="E378" s="48"/>
      <c r="F378" s="48"/>
      <c r="G378" s="48"/>
      <c r="H378" s="48"/>
      <c r="I378" s="48"/>
      <c r="J378" s="48"/>
      <c r="K378" s="48"/>
      <c r="L378" s="48"/>
      <c r="M378" s="48"/>
      <c r="N378" s="48"/>
      <c r="O378" s="48"/>
      <c r="P378" s="48"/>
      <c r="Q378" s="48"/>
    </row>
    <row r="379" spans="2:17" s="46" customFormat="1" ht="15" customHeight="1">
      <c r="B379" s="47"/>
      <c r="C379" s="48"/>
      <c r="D379" s="48"/>
      <c r="E379" s="48"/>
      <c r="F379" s="48"/>
      <c r="G379" s="48"/>
      <c r="H379" s="48"/>
      <c r="I379" s="48"/>
      <c r="J379" s="48"/>
      <c r="K379" s="48"/>
      <c r="L379" s="48"/>
      <c r="M379" s="48"/>
      <c r="N379" s="48"/>
      <c r="O379" s="48"/>
      <c r="P379" s="48"/>
      <c r="Q379" s="48"/>
    </row>
    <row r="380" spans="2:17" s="46" customFormat="1" ht="15" customHeight="1">
      <c r="B380" s="47"/>
      <c r="C380" s="48"/>
      <c r="D380" s="48"/>
      <c r="E380" s="48"/>
      <c r="F380" s="48"/>
      <c r="G380" s="48"/>
      <c r="H380" s="48"/>
      <c r="I380" s="48"/>
      <c r="J380" s="48"/>
      <c r="K380" s="48"/>
      <c r="L380" s="48"/>
      <c r="M380" s="48"/>
      <c r="N380" s="48"/>
      <c r="O380" s="48"/>
      <c r="P380" s="48"/>
      <c r="Q380" s="48"/>
    </row>
    <row r="381" spans="2:17" s="46" customFormat="1" ht="15" customHeight="1">
      <c r="B381" s="47"/>
      <c r="C381" s="48"/>
      <c r="D381" s="48"/>
      <c r="E381" s="48"/>
      <c r="F381" s="48"/>
      <c r="G381" s="48"/>
      <c r="H381" s="48"/>
      <c r="I381" s="48"/>
      <c r="J381" s="48"/>
      <c r="K381" s="48"/>
      <c r="L381" s="48"/>
      <c r="M381" s="48"/>
      <c r="N381" s="48"/>
      <c r="O381" s="48"/>
      <c r="P381" s="48"/>
      <c r="Q381" s="48"/>
    </row>
    <row r="382" spans="2:17" s="46" customFormat="1" ht="15" customHeight="1">
      <c r="B382" s="47"/>
      <c r="C382" s="48"/>
      <c r="D382" s="48"/>
      <c r="E382" s="48"/>
      <c r="F382" s="48"/>
      <c r="G382" s="48"/>
      <c r="H382" s="48"/>
      <c r="I382" s="48"/>
      <c r="J382" s="48"/>
      <c r="K382" s="48"/>
      <c r="L382" s="48"/>
      <c r="M382" s="48"/>
      <c r="N382" s="48"/>
      <c r="O382" s="48"/>
      <c r="P382" s="48"/>
      <c r="Q382" s="48"/>
    </row>
    <row r="383" spans="2:17" s="46" customFormat="1" ht="15" customHeight="1">
      <c r="B383" s="47"/>
      <c r="C383" s="48"/>
      <c r="D383" s="48"/>
      <c r="E383" s="48"/>
      <c r="F383" s="48"/>
      <c r="G383" s="48"/>
      <c r="H383" s="48"/>
      <c r="I383" s="48"/>
      <c r="J383" s="48"/>
      <c r="K383" s="48"/>
      <c r="L383" s="48"/>
      <c r="M383" s="48"/>
      <c r="N383" s="48"/>
      <c r="O383" s="48"/>
      <c r="P383" s="48"/>
      <c r="Q383" s="48"/>
    </row>
    <row r="384" spans="2:17" s="46" customFormat="1" ht="15" customHeight="1">
      <c r="B384" s="47"/>
      <c r="C384" s="48"/>
      <c r="D384" s="48"/>
      <c r="E384" s="48"/>
      <c r="F384" s="48"/>
      <c r="G384" s="48"/>
      <c r="H384" s="48"/>
      <c r="I384" s="48"/>
      <c r="J384" s="48"/>
      <c r="K384" s="48"/>
      <c r="L384" s="48"/>
      <c r="M384" s="48"/>
      <c r="N384" s="48"/>
      <c r="O384" s="48"/>
      <c r="P384" s="48"/>
      <c r="Q384" s="48"/>
    </row>
    <row r="385" spans="2:17" s="46" customFormat="1" ht="15" customHeight="1">
      <c r="B385" s="47"/>
      <c r="C385" s="48"/>
      <c r="D385" s="48"/>
      <c r="E385" s="48"/>
      <c r="F385" s="48"/>
      <c r="G385" s="48"/>
      <c r="H385" s="48"/>
      <c r="I385" s="48"/>
      <c r="J385" s="48"/>
      <c r="K385" s="48"/>
      <c r="L385" s="48"/>
      <c r="M385" s="48"/>
      <c r="N385" s="48"/>
      <c r="O385" s="48"/>
      <c r="P385" s="48"/>
      <c r="Q385" s="48"/>
    </row>
    <row r="386" spans="2:17" s="46" customFormat="1" ht="15" customHeight="1">
      <c r="B386" s="47"/>
      <c r="C386" s="48"/>
      <c r="D386" s="48"/>
      <c r="E386" s="48"/>
      <c r="F386" s="48"/>
      <c r="G386" s="48"/>
      <c r="H386" s="48"/>
      <c r="I386" s="48"/>
      <c r="J386" s="48"/>
      <c r="K386" s="48"/>
      <c r="L386" s="48"/>
      <c r="M386" s="48"/>
      <c r="N386" s="48"/>
      <c r="O386" s="48"/>
      <c r="P386" s="48"/>
      <c r="Q386" s="48"/>
    </row>
    <row r="387" spans="2:17" s="46" customFormat="1" ht="15" customHeight="1">
      <c r="B387" s="47"/>
      <c r="C387" s="48"/>
      <c r="D387" s="48"/>
      <c r="E387" s="48"/>
      <c r="F387" s="48"/>
      <c r="G387" s="48"/>
      <c r="H387" s="48"/>
      <c r="I387" s="48"/>
      <c r="J387" s="48"/>
      <c r="K387" s="48"/>
      <c r="L387" s="48"/>
      <c r="M387" s="48"/>
      <c r="N387" s="48"/>
      <c r="O387" s="48"/>
      <c r="P387" s="48"/>
      <c r="Q387" s="48"/>
    </row>
    <row r="388" spans="2:17" s="46" customFormat="1" ht="15" customHeight="1">
      <c r="B388" s="47"/>
      <c r="C388" s="48"/>
      <c r="D388" s="48"/>
      <c r="E388" s="48"/>
      <c r="F388" s="48"/>
      <c r="G388" s="48"/>
      <c r="H388" s="48"/>
      <c r="I388" s="48"/>
      <c r="J388" s="48"/>
      <c r="K388" s="48"/>
      <c r="L388" s="48"/>
      <c r="M388" s="48"/>
      <c r="N388" s="48"/>
      <c r="O388" s="48"/>
      <c r="P388" s="48"/>
      <c r="Q388" s="48"/>
    </row>
    <row r="389" spans="2:17" s="46" customFormat="1" ht="15" customHeight="1">
      <c r="B389" s="47"/>
      <c r="C389" s="48"/>
      <c r="D389" s="48"/>
      <c r="E389" s="48"/>
      <c r="F389" s="48"/>
      <c r="G389" s="48"/>
      <c r="H389" s="48"/>
      <c r="I389" s="48"/>
      <c r="J389" s="48"/>
      <c r="K389" s="48"/>
      <c r="L389" s="48"/>
      <c r="M389" s="48"/>
      <c r="N389" s="48"/>
      <c r="O389" s="48"/>
      <c r="P389" s="48"/>
      <c r="Q389" s="48"/>
    </row>
    <row r="390" spans="2:17" s="46" customFormat="1" ht="15" customHeight="1">
      <c r="B390" s="47"/>
      <c r="C390" s="48"/>
      <c r="D390" s="48"/>
      <c r="E390" s="48"/>
      <c r="F390" s="48"/>
      <c r="G390" s="48"/>
      <c r="H390" s="48"/>
      <c r="I390" s="48"/>
      <c r="J390" s="48"/>
      <c r="K390" s="48"/>
      <c r="L390" s="48"/>
      <c r="M390" s="48"/>
      <c r="N390" s="48"/>
      <c r="O390" s="48"/>
      <c r="P390" s="48"/>
      <c r="Q390" s="48"/>
    </row>
    <row r="391" spans="2:17" s="46" customFormat="1" ht="15" customHeight="1">
      <c r="B391" s="47"/>
      <c r="C391" s="48"/>
      <c r="D391" s="48"/>
      <c r="E391" s="48"/>
      <c r="F391" s="48"/>
      <c r="G391" s="48"/>
      <c r="H391" s="48"/>
      <c r="I391" s="48"/>
      <c r="J391" s="48"/>
      <c r="K391" s="48"/>
      <c r="L391" s="48"/>
      <c r="M391" s="48"/>
      <c r="N391" s="48"/>
      <c r="O391" s="48"/>
      <c r="P391" s="48"/>
      <c r="Q391" s="48"/>
    </row>
    <row r="392" spans="2:17" s="46" customFormat="1" ht="15" customHeight="1">
      <c r="B392" s="47"/>
      <c r="C392" s="48"/>
      <c r="D392" s="48"/>
      <c r="E392" s="48"/>
      <c r="F392" s="48"/>
      <c r="G392" s="48"/>
      <c r="H392" s="48"/>
      <c r="I392" s="48"/>
      <c r="J392" s="48"/>
      <c r="K392" s="48"/>
      <c r="L392" s="48"/>
      <c r="M392" s="48"/>
      <c r="N392" s="48"/>
      <c r="O392" s="48"/>
      <c r="P392" s="48"/>
      <c r="Q392" s="48"/>
    </row>
    <row r="393" spans="2:17" s="46" customFormat="1" ht="15" customHeight="1">
      <c r="B393" s="47"/>
      <c r="C393" s="48"/>
      <c r="D393" s="48"/>
      <c r="E393" s="48"/>
      <c r="F393" s="48"/>
      <c r="G393" s="48"/>
      <c r="H393" s="48"/>
      <c r="I393" s="48"/>
      <c r="J393" s="48"/>
      <c r="K393" s="48"/>
      <c r="L393" s="48"/>
      <c r="M393" s="48"/>
      <c r="N393" s="48"/>
      <c r="O393" s="48"/>
      <c r="P393" s="48"/>
      <c r="Q393" s="48"/>
    </row>
    <row r="394" spans="2:17" s="46" customFormat="1" ht="15" customHeight="1">
      <c r="B394" s="47"/>
      <c r="C394" s="48"/>
      <c r="D394" s="48"/>
      <c r="E394" s="48"/>
      <c r="F394" s="48"/>
      <c r="G394" s="48"/>
      <c r="H394" s="48"/>
      <c r="I394" s="48"/>
      <c r="J394" s="48"/>
      <c r="K394" s="48"/>
      <c r="L394" s="48"/>
      <c r="M394" s="48"/>
      <c r="N394" s="48"/>
      <c r="O394" s="48"/>
      <c r="P394" s="48"/>
      <c r="Q394" s="48"/>
    </row>
    <row r="395" spans="2:17" s="46" customFormat="1" ht="15" customHeight="1">
      <c r="B395" s="47"/>
      <c r="C395" s="48"/>
      <c r="D395" s="48"/>
      <c r="E395" s="48"/>
      <c r="F395" s="48"/>
      <c r="G395" s="48"/>
      <c r="H395" s="48"/>
      <c r="I395" s="48"/>
      <c r="J395" s="48"/>
      <c r="K395" s="48"/>
      <c r="L395" s="48"/>
      <c r="M395" s="48"/>
      <c r="N395" s="48"/>
      <c r="O395" s="48"/>
      <c r="P395" s="48"/>
      <c r="Q395" s="48"/>
    </row>
    <row r="396" spans="2:17" s="46" customFormat="1" ht="15" customHeight="1">
      <c r="B396" s="47"/>
      <c r="C396" s="48"/>
      <c r="D396" s="48"/>
      <c r="E396" s="48"/>
      <c r="F396" s="48"/>
      <c r="G396" s="48"/>
      <c r="H396" s="48"/>
      <c r="I396" s="48"/>
      <c r="J396" s="48"/>
      <c r="K396" s="48"/>
      <c r="L396" s="48"/>
      <c r="M396" s="48"/>
      <c r="N396" s="48"/>
      <c r="O396" s="48"/>
      <c r="P396" s="48"/>
      <c r="Q396" s="48"/>
    </row>
    <row r="397" spans="2:17" s="46" customFormat="1" ht="15" customHeight="1">
      <c r="B397" s="47"/>
      <c r="C397" s="48"/>
      <c r="D397" s="48"/>
      <c r="E397" s="48"/>
      <c r="F397" s="48"/>
      <c r="G397" s="48"/>
      <c r="H397" s="48"/>
      <c r="I397" s="48"/>
      <c r="J397" s="48"/>
      <c r="K397" s="48"/>
      <c r="L397" s="48"/>
      <c r="M397" s="48"/>
      <c r="N397" s="48"/>
      <c r="O397" s="48"/>
      <c r="P397" s="48"/>
      <c r="Q397" s="48"/>
    </row>
    <row r="398" spans="2:17" s="46" customFormat="1" ht="15" customHeight="1">
      <c r="B398" s="47"/>
      <c r="C398" s="48"/>
      <c r="D398" s="48"/>
      <c r="E398" s="48"/>
      <c r="F398" s="48"/>
      <c r="G398" s="48"/>
      <c r="H398" s="48"/>
      <c r="I398" s="48"/>
      <c r="J398" s="48"/>
      <c r="K398" s="48"/>
      <c r="L398" s="48"/>
      <c r="M398" s="48"/>
      <c r="N398" s="48"/>
      <c r="O398" s="48"/>
      <c r="P398" s="48"/>
      <c r="Q398" s="48"/>
    </row>
    <row r="399" spans="2:17" s="46" customFormat="1" ht="15" customHeight="1">
      <c r="B399" s="47"/>
      <c r="C399" s="48"/>
      <c r="D399" s="48"/>
      <c r="E399" s="48"/>
      <c r="F399" s="48"/>
      <c r="G399" s="48"/>
      <c r="H399" s="48"/>
      <c r="I399" s="48"/>
      <c r="J399" s="48"/>
      <c r="K399" s="48"/>
      <c r="L399" s="48"/>
      <c r="M399" s="48"/>
      <c r="N399" s="48"/>
      <c r="O399" s="48"/>
      <c r="P399" s="48"/>
      <c r="Q399" s="48"/>
    </row>
    <row r="400" spans="2:17" s="46" customFormat="1" ht="15" customHeight="1">
      <c r="B400" s="47"/>
      <c r="C400" s="48"/>
      <c r="D400" s="48"/>
      <c r="E400" s="48"/>
      <c r="F400" s="48"/>
      <c r="G400" s="48"/>
      <c r="H400" s="48"/>
      <c r="I400" s="48"/>
      <c r="J400" s="48"/>
      <c r="K400" s="48"/>
      <c r="L400" s="48"/>
      <c r="M400" s="48"/>
      <c r="N400" s="48"/>
      <c r="O400" s="48"/>
      <c r="P400" s="48"/>
      <c r="Q400" s="48"/>
    </row>
    <row r="401" spans="2:17" s="46" customFormat="1" ht="15" customHeight="1">
      <c r="B401" s="47"/>
      <c r="C401" s="48"/>
      <c r="D401" s="48"/>
      <c r="E401" s="48"/>
      <c r="F401" s="48"/>
      <c r="G401" s="48"/>
      <c r="H401" s="48"/>
      <c r="I401" s="48"/>
      <c r="J401" s="48"/>
      <c r="K401" s="48"/>
      <c r="L401" s="48"/>
      <c r="M401" s="48"/>
      <c r="N401" s="48"/>
      <c r="O401" s="48"/>
      <c r="P401" s="48"/>
      <c r="Q401" s="48"/>
    </row>
    <row r="402" spans="2:17" s="46" customFormat="1" ht="15" customHeight="1">
      <c r="B402" s="47"/>
      <c r="C402" s="48"/>
      <c r="D402" s="48"/>
      <c r="E402" s="48"/>
      <c r="F402" s="48"/>
      <c r="G402" s="48"/>
      <c r="H402" s="48"/>
      <c r="I402" s="48"/>
      <c r="J402" s="48"/>
      <c r="K402" s="48"/>
      <c r="L402" s="48"/>
      <c r="M402" s="48"/>
      <c r="N402" s="48"/>
      <c r="O402" s="48"/>
      <c r="P402" s="48"/>
      <c r="Q402" s="48"/>
    </row>
    <row r="403" spans="2:17" s="46" customFormat="1" ht="15" customHeight="1">
      <c r="B403" s="47"/>
      <c r="C403" s="48"/>
      <c r="D403" s="48"/>
      <c r="E403" s="48"/>
      <c r="F403" s="48"/>
      <c r="G403" s="48"/>
      <c r="H403" s="48"/>
      <c r="I403" s="48"/>
      <c r="J403" s="48"/>
      <c r="K403" s="48"/>
      <c r="L403" s="48"/>
      <c r="M403" s="48"/>
      <c r="N403" s="48"/>
      <c r="O403" s="48"/>
      <c r="P403" s="48"/>
      <c r="Q403" s="48"/>
    </row>
    <row r="404" spans="2:17" s="46" customFormat="1" ht="15" customHeight="1">
      <c r="B404" s="47"/>
      <c r="C404" s="48"/>
      <c r="D404" s="48"/>
      <c r="E404" s="48"/>
      <c r="F404" s="48"/>
      <c r="G404" s="48"/>
      <c r="H404" s="48"/>
      <c r="I404" s="48"/>
      <c r="J404" s="48"/>
      <c r="K404" s="48"/>
      <c r="L404" s="48"/>
      <c r="M404" s="48"/>
      <c r="N404" s="48"/>
      <c r="O404" s="48"/>
      <c r="P404" s="48"/>
      <c r="Q404" s="48"/>
    </row>
    <row r="405" spans="2:17" s="46" customFormat="1" ht="15" customHeight="1">
      <c r="B405" s="47"/>
      <c r="C405" s="48"/>
      <c r="D405" s="48"/>
      <c r="E405" s="48"/>
      <c r="F405" s="48"/>
      <c r="G405" s="48"/>
      <c r="H405" s="48"/>
      <c r="I405" s="48"/>
      <c r="J405" s="48"/>
      <c r="K405" s="48"/>
      <c r="L405" s="48"/>
      <c r="M405" s="48"/>
      <c r="N405" s="48"/>
      <c r="O405" s="48"/>
      <c r="P405" s="48"/>
      <c r="Q405" s="48"/>
    </row>
    <row r="406" spans="2:17" s="46" customFormat="1" ht="15" customHeight="1">
      <c r="B406" s="47"/>
      <c r="C406" s="48"/>
      <c r="D406" s="48"/>
      <c r="E406" s="48"/>
      <c r="F406" s="48"/>
      <c r="G406" s="48"/>
      <c r="H406" s="48"/>
      <c r="I406" s="48"/>
      <c r="J406" s="48"/>
      <c r="K406" s="48"/>
      <c r="L406" s="48"/>
      <c r="M406" s="48"/>
      <c r="N406" s="48"/>
      <c r="O406" s="48"/>
      <c r="P406" s="48"/>
      <c r="Q406" s="48"/>
    </row>
    <row r="407" spans="2:17" s="46" customFormat="1" ht="15" customHeight="1">
      <c r="B407" s="47"/>
      <c r="C407" s="48"/>
      <c r="D407" s="48"/>
      <c r="E407" s="48"/>
      <c r="F407" s="48"/>
      <c r="G407" s="48"/>
      <c r="H407" s="48"/>
      <c r="I407" s="48"/>
      <c r="J407" s="48"/>
      <c r="K407" s="48"/>
      <c r="L407" s="48"/>
      <c r="M407" s="48"/>
      <c r="N407" s="48"/>
      <c r="O407" s="48"/>
      <c r="P407" s="48"/>
      <c r="Q407" s="48"/>
    </row>
    <row r="408" spans="2:17" s="46" customFormat="1" ht="15" customHeight="1">
      <c r="B408" s="47"/>
      <c r="C408" s="48"/>
      <c r="D408" s="48"/>
      <c r="E408" s="48"/>
      <c r="F408" s="48"/>
      <c r="G408" s="48"/>
      <c r="H408" s="48"/>
      <c r="I408" s="48"/>
      <c r="J408" s="48"/>
      <c r="K408" s="48"/>
      <c r="L408" s="48"/>
      <c r="M408" s="48"/>
      <c r="N408" s="48"/>
      <c r="O408" s="48"/>
      <c r="P408" s="48"/>
      <c r="Q408" s="48"/>
    </row>
    <row r="409" spans="2:17" s="46" customFormat="1" ht="15" customHeight="1">
      <c r="B409" s="47"/>
      <c r="C409" s="48"/>
      <c r="D409" s="48"/>
      <c r="E409" s="48"/>
      <c r="F409" s="48"/>
      <c r="G409" s="48"/>
      <c r="H409" s="48"/>
      <c r="I409" s="48"/>
      <c r="J409" s="48"/>
      <c r="K409" s="48"/>
      <c r="L409" s="48"/>
      <c r="M409" s="48"/>
      <c r="N409" s="48"/>
      <c r="O409" s="48"/>
      <c r="P409" s="48"/>
      <c r="Q409" s="48"/>
    </row>
    <row r="410" spans="2:17" s="46" customFormat="1" ht="15" customHeight="1">
      <c r="B410" s="47"/>
      <c r="C410" s="48"/>
      <c r="D410" s="48"/>
      <c r="E410" s="48"/>
      <c r="F410" s="48"/>
      <c r="G410" s="48"/>
      <c r="H410" s="48"/>
      <c r="I410" s="48"/>
      <c r="J410" s="48"/>
      <c r="K410" s="48"/>
      <c r="L410" s="48"/>
      <c r="M410" s="48"/>
      <c r="N410" s="48"/>
      <c r="O410" s="48"/>
      <c r="P410" s="48"/>
      <c r="Q410" s="48"/>
    </row>
    <row r="411" spans="2:17" s="46" customFormat="1" ht="15" customHeight="1">
      <c r="B411" s="47"/>
      <c r="C411" s="48"/>
      <c r="D411" s="48"/>
      <c r="E411" s="48"/>
      <c r="F411" s="48"/>
      <c r="G411" s="48"/>
      <c r="H411" s="48"/>
      <c r="I411" s="48"/>
      <c r="J411" s="48"/>
      <c r="K411" s="48"/>
      <c r="L411" s="48"/>
      <c r="M411" s="48"/>
      <c r="N411" s="48"/>
      <c r="O411" s="48"/>
      <c r="P411" s="48"/>
      <c r="Q411" s="48"/>
    </row>
    <row r="412" spans="2:17" s="46" customFormat="1" ht="15" customHeight="1">
      <c r="B412" s="47"/>
      <c r="C412" s="48"/>
      <c r="D412" s="48"/>
      <c r="E412" s="48"/>
      <c r="F412" s="48"/>
      <c r="G412" s="48"/>
      <c r="H412" s="48"/>
      <c r="I412" s="48"/>
      <c r="J412" s="48"/>
      <c r="K412" s="48"/>
      <c r="L412" s="48"/>
      <c r="M412" s="48"/>
      <c r="N412" s="48"/>
      <c r="O412" s="48"/>
      <c r="P412" s="48"/>
      <c r="Q412" s="48"/>
    </row>
    <row r="413" spans="2:17" s="46" customFormat="1" ht="15" customHeight="1">
      <c r="B413" s="47"/>
      <c r="C413" s="48"/>
      <c r="D413" s="48"/>
      <c r="E413" s="48"/>
      <c r="F413" s="48"/>
      <c r="G413" s="48"/>
      <c r="H413" s="48"/>
      <c r="I413" s="48"/>
      <c r="J413" s="48"/>
      <c r="K413" s="48"/>
      <c r="L413" s="48"/>
      <c r="M413" s="48"/>
      <c r="N413" s="48"/>
      <c r="O413" s="48"/>
      <c r="P413" s="48"/>
      <c r="Q413" s="48"/>
    </row>
    <row r="414" spans="2:17" s="46" customFormat="1" ht="15" customHeight="1">
      <c r="B414" s="47"/>
      <c r="C414" s="48"/>
      <c r="D414" s="48"/>
      <c r="E414" s="48"/>
      <c r="F414" s="48"/>
      <c r="G414" s="48"/>
      <c r="H414" s="48"/>
      <c r="I414" s="48"/>
      <c r="J414" s="48"/>
      <c r="K414" s="48"/>
      <c r="L414" s="48"/>
      <c r="M414" s="48"/>
      <c r="N414" s="48"/>
      <c r="O414" s="48"/>
      <c r="P414" s="48"/>
      <c r="Q414" s="48"/>
    </row>
    <row r="415" spans="2:17" s="46" customFormat="1" ht="15" customHeight="1">
      <c r="B415" s="47"/>
      <c r="C415" s="48"/>
      <c r="D415" s="48"/>
      <c r="E415" s="48"/>
      <c r="F415" s="48"/>
      <c r="G415" s="48"/>
      <c r="H415" s="48"/>
      <c r="I415" s="48"/>
      <c r="J415" s="48"/>
      <c r="K415" s="48"/>
      <c r="L415" s="48"/>
      <c r="M415" s="48"/>
      <c r="N415" s="48"/>
      <c r="O415" s="48"/>
      <c r="P415" s="48"/>
      <c r="Q415" s="48"/>
    </row>
    <row r="416" spans="2:17" s="46" customFormat="1" ht="15" customHeight="1">
      <c r="B416" s="47"/>
      <c r="C416" s="48"/>
      <c r="D416" s="48"/>
      <c r="E416" s="48"/>
      <c r="F416" s="48"/>
      <c r="G416" s="48"/>
      <c r="H416" s="48"/>
      <c r="I416" s="48"/>
      <c r="J416" s="48"/>
      <c r="K416" s="48"/>
      <c r="L416" s="48"/>
      <c r="M416" s="48"/>
      <c r="N416" s="48"/>
      <c r="O416" s="48"/>
      <c r="P416" s="48"/>
      <c r="Q416" s="48"/>
    </row>
    <row r="417" spans="2:17" s="46" customFormat="1" ht="15" customHeight="1">
      <c r="B417" s="47"/>
      <c r="C417" s="48"/>
      <c r="D417" s="48"/>
      <c r="E417" s="48"/>
      <c r="F417" s="48"/>
      <c r="G417" s="48"/>
      <c r="H417" s="48"/>
      <c r="I417" s="48"/>
      <c r="J417" s="48"/>
      <c r="K417" s="48"/>
      <c r="L417" s="48"/>
      <c r="M417" s="48"/>
      <c r="N417" s="48"/>
      <c r="O417" s="48"/>
      <c r="P417" s="48"/>
      <c r="Q417" s="48"/>
    </row>
    <row r="418" spans="2:17" s="46" customFormat="1" ht="15" customHeight="1">
      <c r="B418" s="47"/>
      <c r="C418" s="48"/>
      <c r="D418" s="48"/>
      <c r="E418" s="48"/>
      <c r="F418" s="48"/>
      <c r="G418" s="48"/>
      <c r="H418" s="48"/>
      <c r="I418" s="48"/>
      <c r="J418" s="48"/>
      <c r="K418" s="48"/>
      <c r="L418" s="48"/>
      <c r="M418" s="48"/>
      <c r="N418" s="48"/>
      <c r="O418" s="48"/>
      <c r="P418" s="48"/>
      <c r="Q418" s="48"/>
    </row>
    <row r="419" spans="2:17" s="46" customFormat="1" ht="15" customHeight="1">
      <c r="B419" s="47"/>
      <c r="C419" s="48"/>
      <c r="D419" s="48"/>
      <c r="E419" s="48"/>
      <c r="F419" s="48"/>
      <c r="G419" s="48"/>
      <c r="H419" s="48"/>
      <c r="I419" s="48"/>
      <c r="J419" s="48"/>
      <c r="K419" s="48"/>
      <c r="L419" s="48"/>
      <c r="M419" s="48"/>
      <c r="N419" s="48"/>
      <c r="O419" s="48"/>
      <c r="P419" s="48"/>
      <c r="Q419" s="48"/>
    </row>
    <row r="420" spans="2:17" s="46" customFormat="1" ht="15" customHeight="1">
      <c r="B420" s="47"/>
      <c r="C420" s="48"/>
      <c r="D420" s="48"/>
      <c r="E420" s="48"/>
      <c r="F420" s="48"/>
      <c r="G420" s="48"/>
      <c r="H420" s="48"/>
      <c r="I420" s="48"/>
      <c r="J420" s="48"/>
      <c r="K420" s="48"/>
      <c r="L420" s="48"/>
      <c r="M420" s="48"/>
      <c r="N420" s="48"/>
      <c r="O420" s="48"/>
      <c r="P420" s="48"/>
      <c r="Q420" s="48"/>
    </row>
    <row r="421" spans="2:17" s="46" customFormat="1" ht="15" customHeight="1">
      <c r="B421" s="47"/>
      <c r="C421" s="48"/>
      <c r="D421" s="48"/>
      <c r="E421" s="48"/>
      <c r="F421" s="48"/>
      <c r="G421" s="48"/>
      <c r="H421" s="48"/>
      <c r="I421" s="48"/>
      <c r="J421" s="48"/>
      <c r="K421" s="48"/>
      <c r="L421" s="48"/>
      <c r="M421" s="48"/>
      <c r="N421" s="48"/>
      <c r="O421" s="48"/>
      <c r="P421" s="48"/>
      <c r="Q421" s="48"/>
    </row>
    <row r="422" spans="2:17" s="46" customFormat="1" ht="15" customHeight="1">
      <c r="B422" s="47"/>
      <c r="C422" s="48"/>
      <c r="D422" s="48"/>
      <c r="E422" s="48"/>
      <c r="F422" s="48"/>
      <c r="G422" s="48"/>
      <c r="H422" s="48"/>
      <c r="I422" s="48"/>
      <c r="J422" s="48"/>
      <c r="K422" s="48"/>
      <c r="L422" s="48"/>
      <c r="M422" s="48"/>
      <c r="N422" s="48"/>
      <c r="O422" s="48"/>
      <c r="P422" s="48"/>
      <c r="Q422" s="48"/>
    </row>
    <row r="423" spans="2:17" s="46" customFormat="1" ht="15" customHeight="1">
      <c r="B423" s="47"/>
      <c r="C423" s="48"/>
      <c r="D423" s="48"/>
      <c r="E423" s="48"/>
      <c r="F423" s="48"/>
      <c r="G423" s="48"/>
      <c r="H423" s="48"/>
      <c r="I423" s="48"/>
      <c r="J423" s="48"/>
      <c r="K423" s="48"/>
      <c r="L423" s="48"/>
      <c r="M423" s="48"/>
      <c r="N423" s="48"/>
      <c r="O423" s="48"/>
      <c r="P423" s="48"/>
      <c r="Q423" s="48"/>
    </row>
    <row r="424" spans="2:17" s="46" customFormat="1" ht="15" customHeight="1">
      <c r="B424" s="47"/>
      <c r="C424" s="48"/>
      <c r="D424" s="48"/>
      <c r="E424" s="48"/>
      <c r="F424" s="48"/>
      <c r="G424" s="48"/>
      <c r="H424" s="48"/>
      <c r="I424" s="48"/>
      <c r="J424" s="48"/>
      <c r="K424" s="48"/>
      <c r="L424" s="48"/>
      <c r="M424" s="48"/>
      <c r="N424" s="48"/>
      <c r="O424" s="48"/>
      <c r="P424" s="48"/>
      <c r="Q424" s="48"/>
    </row>
    <row r="425" spans="2:17" s="46" customFormat="1" ht="15" customHeight="1">
      <c r="B425" s="47"/>
      <c r="C425" s="48"/>
      <c r="D425" s="48"/>
      <c r="E425" s="48"/>
      <c r="F425" s="48"/>
      <c r="G425" s="48"/>
      <c r="H425" s="48"/>
      <c r="I425" s="48"/>
      <c r="J425" s="48"/>
      <c r="K425" s="48"/>
      <c r="L425" s="48"/>
      <c r="M425" s="48"/>
      <c r="N425" s="48"/>
      <c r="O425" s="48"/>
      <c r="P425" s="48"/>
      <c r="Q425" s="48"/>
    </row>
    <row r="426" spans="2:17" s="46" customFormat="1" ht="15" customHeight="1">
      <c r="B426" s="47"/>
      <c r="C426" s="48"/>
      <c r="D426" s="48"/>
      <c r="E426" s="48"/>
      <c r="F426" s="48"/>
      <c r="G426" s="48"/>
      <c r="H426" s="48"/>
      <c r="I426" s="48"/>
      <c r="J426" s="48"/>
      <c r="K426" s="48"/>
      <c r="L426" s="48"/>
      <c r="M426" s="48"/>
      <c r="N426" s="48"/>
      <c r="O426" s="48"/>
      <c r="P426" s="48"/>
      <c r="Q426" s="48"/>
    </row>
    <row r="427" spans="2:17" s="46" customFormat="1" ht="15" customHeight="1">
      <c r="B427" s="47"/>
      <c r="C427" s="48"/>
      <c r="D427" s="48"/>
      <c r="E427" s="48"/>
      <c r="F427" s="48"/>
      <c r="G427" s="48"/>
      <c r="H427" s="48"/>
      <c r="I427" s="48"/>
      <c r="J427" s="48"/>
      <c r="K427" s="48"/>
      <c r="L427" s="48"/>
      <c r="M427" s="48"/>
      <c r="N427" s="48"/>
      <c r="O427" s="48"/>
      <c r="P427" s="48"/>
      <c r="Q427" s="48"/>
    </row>
    <row r="428" spans="2:17" s="46" customFormat="1" ht="15" customHeight="1">
      <c r="B428" s="47"/>
      <c r="C428" s="48"/>
      <c r="D428" s="48"/>
      <c r="E428" s="48"/>
      <c r="F428" s="48"/>
      <c r="G428" s="48"/>
      <c r="H428" s="48"/>
      <c r="I428" s="48"/>
      <c r="J428" s="48"/>
      <c r="K428" s="48"/>
      <c r="L428" s="48"/>
      <c r="M428" s="48"/>
      <c r="N428" s="48"/>
      <c r="O428" s="48"/>
      <c r="P428" s="48"/>
      <c r="Q428" s="48"/>
    </row>
    <row r="429" spans="2:17" s="46" customFormat="1" ht="15" customHeight="1">
      <c r="B429" s="47"/>
      <c r="C429" s="48"/>
      <c r="D429" s="48"/>
      <c r="E429" s="48"/>
      <c r="F429" s="48"/>
      <c r="G429" s="48"/>
      <c r="H429" s="48"/>
      <c r="I429" s="48"/>
      <c r="J429" s="48"/>
      <c r="K429" s="48"/>
      <c r="L429" s="48"/>
      <c r="M429" s="48"/>
      <c r="N429" s="48"/>
      <c r="O429" s="48"/>
      <c r="P429" s="48"/>
      <c r="Q429" s="48"/>
    </row>
    <row r="430" spans="2:17" s="46" customFormat="1" ht="15" customHeight="1">
      <c r="B430" s="47"/>
      <c r="C430" s="48"/>
      <c r="D430" s="48"/>
      <c r="E430" s="48"/>
      <c r="F430" s="48"/>
      <c r="G430" s="48"/>
      <c r="H430" s="48"/>
      <c r="I430" s="48"/>
      <c r="J430" s="48"/>
      <c r="K430" s="48"/>
      <c r="L430" s="48"/>
      <c r="M430" s="48"/>
      <c r="N430" s="48"/>
      <c r="O430" s="48"/>
      <c r="P430" s="48"/>
      <c r="Q430" s="48"/>
    </row>
    <row r="431" spans="2:17" s="46" customFormat="1" ht="15" customHeight="1">
      <c r="B431" s="47"/>
      <c r="C431" s="48"/>
      <c r="D431" s="48"/>
      <c r="E431" s="48"/>
      <c r="F431" s="48"/>
      <c r="G431" s="48"/>
      <c r="H431" s="48"/>
      <c r="I431" s="48"/>
      <c r="J431" s="48"/>
      <c r="K431" s="48"/>
      <c r="L431" s="48"/>
      <c r="M431" s="48"/>
      <c r="N431" s="48"/>
      <c r="O431" s="48"/>
      <c r="P431" s="48"/>
      <c r="Q431" s="48"/>
    </row>
    <row r="432" spans="2:17" s="46" customFormat="1" ht="15" customHeight="1">
      <c r="B432" s="47"/>
      <c r="C432" s="48"/>
      <c r="D432" s="48"/>
      <c r="E432" s="48"/>
      <c r="F432" s="48"/>
      <c r="G432" s="48"/>
      <c r="H432" s="48"/>
      <c r="I432" s="48"/>
      <c r="J432" s="48"/>
      <c r="K432" s="48"/>
      <c r="L432" s="48"/>
      <c r="M432" s="48"/>
      <c r="N432" s="48"/>
      <c r="O432" s="48"/>
      <c r="P432" s="48"/>
      <c r="Q432" s="48"/>
    </row>
    <row r="433" spans="2:17" s="46" customFormat="1" ht="15" customHeight="1">
      <c r="B433" s="47"/>
      <c r="C433" s="48"/>
      <c r="D433" s="48"/>
      <c r="E433" s="48"/>
      <c r="F433" s="48"/>
      <c r="G433" s="48"/>
      <c r="H433" s="48"/>
      <c r="I433" s="48"/>
      <c r="J433" s="48"/>
      <c r="K433" s="48"/>
      <c r="L433" s="48"/>
      <c r="M433" s="48"/>
      <c r="N433" s="48"/>
      <c r="O433" s="48"/>
      <c r="P433" s="48"/>
      <c r="Q433" s="48"/>
    </row>
    <row r="434" spans="2:17" s="46" customFormat="1" ht="15" customHeight="1">
      <c r="B434" s="47"/>
      <c r="C434" s="48"/>
      <c r="D434" s="48"/>
      <c r="E434" s="48"/>
      <c r="F434" s="48"/>
      <c r="G434" s="48"/>
      <c r="H434" s="48"/>
      <c r="I434" s="48"/>
      <c r="J434" s="48"/>
      <c r="K434" s="48"/>
      <c r="L434" s="48"/>
      <c r="M434" s="48"/>
      <c r="N434" s="48"/>
      <c r="O434" s="48"/>
      <c r="P434" s="48"/>
      <c r="Q434" s="48"/>
    </row>
    <row r="435" spans="2:17" s="46" customFormat="1" ht="15" customHeight="1">
      <c r="B435" s="47"/>
      <c r="C435" s="48"/>
      <c r="D435" s="48"/>
      <c r="E435" s="48"/>
      <c r="F435" s="48"/>
      <c r="G435" s="48"/>
      <c r="H435" s="48"/>
      <c r="I435" s="48"/>
      <c r="J435" s="48"/>
      <c r="K435" s="48"/>
      <c r="L435" s="48"/>
      <c r="M435" s="48"/>
      <c r="N435" s="48"/>
      <c r="O435" s="48"/>
      <c r="P435" s="48"/>
      <c r="Q435" s="48"/>
    </row>
    <row r="436" spans="2:17" s="46" customFormat="1" ht="15" customHeight="1">
      <c r="B436" s="47"/>
      <c r="C436" s="48"/>
      <c r="D436" s="48"/>
      <c r="E436" s="48"/>
      <c r="F436" s="48"/>
      <c r="G436" s="48"/>
      <c r="H436" s="48"/>
      <c r="I436" s="48"/>
      <c r="J436" s="48"/>
      <c r="K436" s="48"/>
      <c r="L436" s="48"/>
      <c r="M436" s="48"/>
      <c r="N436" s="48"/>
      <c r="O436" s="48"/>
      <c r="P436" s="48"/>
      <c r="Q436" s="48"/>
    </row>
    <row r="437" spans="2:17" s="46" customFormat="1" ht="15" customHeight="1">
      <c r="B437" s="47"/>
      <c r="C437" s="48"/>
      <c r="D437" s="48"/>
      <c r="E437" s="48"/>
      <c r="F437" s="48"/>
      <c r="G437" s="48"/>
      <c r="H437" s="48"/>
      <c r="I437" s="48"/>
      <c r="J437" s="48"/>
      <c r="K437" s="48"/>
      <c r="L437" s="48"/>
      <c r="M437" s="48"/>
      <c r="N437" s="48"/>
      <c r="O437" s="48"/>
      <c r="P437" s="48"/>
      <c r="Q437" s="48"/>
    </row>
    <row r="438" spans="2:17" s="46" customFormat="1" ht="15" customHeight="1">
      <c r="B438" s="47"/>
      <c r="C438" s="48"/>
      <c r="D438" s="48"/>
      <c r="E438" s="48"/>
      <c r="F438" s="48"/>
      <c r="G438" s="48"/>
      <c r="H438" s="48"/>
      <c r="I438" s="48"/>
      <c r="J438" s="48"/>
      <c r="K438" s="48"/>
      <c r="L438" s="48"/>
      <c r="M438" s="48"/>
      <c r="N438" s="48"/>
      <c r="O438" s="48"/>
      <c r="P438" s="48"/>
      <c r="Q438" s="48"/>
    </row>
    <row r="439" spans="2:17" s="46" customFormat="1" ht="15" customHeight="1">
      <c r="B439" s="47"/>
      <c r="C439" s="48"/>
      <c r="D439" s="48"/>
      <c r="E439" s="48"/>
      <c r="F439" s="48"/>
      <c r="G439" s="48"/>
      <c r="H439" s="48"/>
      <c r="I439" s="48"/>
      <c r="J439" s="48"/>
      <c r="K439" s="48"/>
      <c r="L439" s="48"/>
      <c r="M439" s="48"/>
      <c r="N439" s="48"/>
      <c r="O439" s="48"/>
      <c r="P439" s="48"/>
      <c r="Q439" s="48"/>
    </row>
    <row r="440" spans="2:17" s="46" customFormat="1" ht="15" customHeight="1">
      <c r="B440" s="47"/>
      <c r="C440" s="48"/>
      <c r="D440" s="48"/>
      <c r="E440" s="48"/>
      <c r="F440" s="48"/>
      <c r="G440" s="48"/>
      <c r="H440" s="48"/>
      <c r="I440" s="48"/>
      <c r="J440" s="48"/>
      <c r="K440" s="48"/>
      <c r="L440" s="48"/>
      <c r="M440" s="48"/>
      <c r="N440" s="48"/>
      <c r="O440" s="48"/>
      <c r="P440" s="48"/>
      <c r="Q440" s="48"/>
    </row>
    <row r="441" spans="2:17" s="46" customFormat="1" ht="15" customHeight="1">
      <c r="B441" s="47"/>
      <c r="C441" s="48"/>
      <c r="D441" s="48"/>
      <c r="E441" s="48"/>
      <c r="F441" s="48"/>
      <c r="G441" s="48"/>
      <c r="H441" s="48"/>
      <c r="I441" s="48"/>
      <c r="J441" s="48"/>
      <c r="K441" s="48"/>
      <c r="L441" s="48"/>
      <c r="M441" s="48"/>
      <c r="N441" s="48"/>
      <c r="O441" s="48"/>
      <c r="P441" s="48"/>
      <c r="Q441" s="48"/>
    </row>
    <row r="442" spans="2:17" s="46" customFormat="1" ht="15" customHeight="1">
      <c r="B442" s="47"/>
      <c r="C442" s="48"/>
      <c r="D442" s="48"/>
      <c r="E442" s="48"/>
      <c r="F442" s="48"/>
      <c r="G442" s="48"/>
      <c r="H442" s="48"/>
      <c r="I442" s="48"/>
      <c r="J442" s="48"/>
      <c r="K442" s="48"/>
      <c r="L442" s="48"/>
      <c r="M442" s="48"/>
      <c r="N442" s="48"/>
      <c r="O442" s="48"/>
      <c r="P442" s="48"/>
      <c r="Q442" s="48"/>
    </row>
    <row r="443" spans="2:17" s="46" customFormat="1" ht="15" customHeight="1">
      <c r="B443" s="47"/>
      <c r="C443" s="48"/>
      <c r="D443" s="48"/>
      <c r="E443" s="48"/>
      <c r="F443" s="48"/>
      <c r="G443" s="48"/>
      <c r="H443" s="48"/>
      <c r="I443" s="48"/>
      <c r="J443" s="48"/>
      <c r="K443" s="48"/>
      <c r="L443" s="48"/>
      <c r="M443" s="48"/>
      <c r="N443" s="48"/>
      <c r="O443" s="48"/>
      <c r="P443" s="48"/>
      <c r="Q443" s="48"/>
    </row>
    <row r="444" spans="2:17" s="46" customFormat="1" ht="15" customHeight="1">
      <c r="B444" s="47"/>
      <c r="C444" s="48"/>
      <c r="D444" s="48"/>
      <c r="E444" s="48"/>
      <c r="F444" s="48"/>
      <c r="G444" s="48"/>
      <c r="H444" s="48"/>
      <c r="I444" s="48"/>
      <c r="J444" s="48"/>
      <c r="K444" s="48"/>
      <c r="L444" s="48"/>
      <c r="M444" s="48"/>
      <c r="N444" s="48"/>
      <c r="O444" s="48"/>
      <c r="P444" s="48"/>
      <c r="Q444" s="48"/>
    </row>
    <row r="445" spans="2:17" s="46" customFormat="1" ht="15" customHeight="1">
      <c r="B445" s="47"/>
      <c r="C445" s="48"/>
      <c r="D445" s="48"/>
      <c r="E445" s="48"/>
      <c r="F445" s="48"/>
      <c r="G445" s="48"/>
      <c r="H445" s="48"/>
      <c r="I445" s="48"/>
      <c r="J445" s="48"/>
      <c r="K445" s="48"/>
      <c r="L445" s="48"/>
      <c r="M445" s="48"/>
      <c r="N445" s="48"/>
      <c r="O445" s="48"/>
      <c r="P445" s="48"/>
      <c r="Q445" s="48"/>
    </row>
    <row r="446" spans="2:17" s="46" customFormat="1" ht="15" customHeight="1">
      <c r="B446" s="47"/>
      <c r="C446" s="48"/>
      <c r="D446" s="48"/>
      <c r="E446" s="48"/>
      <c r="F446" s="48"/>
      <c r="G446" s="48"/>
      <c r="H446" s="48"/>
      <c r="I446" s="48"/>
      <c r="J446" s="48"/>
      <c r="K446" s="48"/>
      <c r="L446" s="48"/>
      <c r="M446" s="48"/>
      <c r="N446" s="48"/>
      <c r="O446" s="48"/>
      <c r="P446" s="48"/>
      <c r="Q446" s="48"/>
    </row>
    <row r="447" spans="2:17" s="46" customFormat="1" ht="15" customHeight="1">
      <c r="B447" s="47"/>
      <c r="C447" s="48"/>
      <c r="D447" s="48"/>
      <c r="E447" s="48"/>
      <c r="F447" s="48"/>
      <c r="G447" s="48"/>
      <c r="H447" s="48"/>
      <c r="I447" s="48"/>
      <c r="J447" s="48"/>
      <c r="K447" s="48"/>
      <c r="L447" s="48"/>
      <c r="M447" s="48"/>
      <c r="N447" s="48"/>
      <c r="O447" s="48"/>
      <c r="P447" s="48"/>
      <c r="Q447" s="48"/>
    </row>
    <row r="448" spans="2:17" s="46" customFormat="1" ht="15" customHeight="1">
      <c r="B448" s="47"/>
      <c r="C448" s="48"/>
      <c r="D448" s="48"/>
      <c r="E448" s="48"/>
      <c r="F448" s="48"/>
      <c r="G448" s="48"/>
      <c r="H448" s="48"/>
      <c r="I448" s="48"/>
      <c r="J448" s="48"/>
      <c r="K448" s="48"/>
      <c r="L448" s="48"/>
      <c r="M448" s="48"/>
      <c r="N448" s="48"/>
      <c r="O448" s="48"/>
      <c r="P448" s="48"/>
      <c r="Q448" s="48"/>
    </row>
    <row r="449" spans="2:17" s="46" customFormat="1" ht="15" customHeight="1">
      <c r="B449" s="47"/>
      <c r="C449" s="48"/>
      <c r="D449" s="48"/>
      <c r="E449" s="48"/>
      <c r="F449" s="48"/>
      <c r="G449" s="48"/>
      <c r="H449" s="48"/>
      <c r="I449" s="48"/>
      <c r="J449" s="48"/>
      <c r="K449" s="48"/>
      <c r="L449" s="48"/>
      <c r="M449" s="48"/>
      <c r="N449" s="48"/>
      <c r="O449" s="48"/>
      <c r="P449" s="48"/>
      <c r="Q449" s="48"/>
    </row>
    <row r="450" spans="2:17" s="46" customFormat="1" ht="15" customHeight="1">
      <c r="B450" s="47"/>
      <c r="C450" s="48"/>
      <c r="D450" s="48"/>
      <c r="E450" s="48"/>
      <c r="F450" s="48"/>
      <c r="G450" s="48"/>
      <c r="H450" s="48"/>
      <c r="I450" s="48"/>
      <c r="J450" s="48"/>
      <c r="K450" s="48"/>
      <c r="L450" s="48"/>
      <c r="M450" s="48"/>
      <c r="N450" s="48"/>
      <c r="O450" s="48"/>
      <c r="P450" s="48"/>
      <c r="Q450" s="48"/>
    </row>
    <row r="451" spans="2:17" s="46" customFormat="1" ht="15" customHeight="1">
      <c r="B451" s="47"/>
      <c r="C451" s="48"/>
      <c r="D451" s="48"/>
      <c r="E451" s="48"/>
      <c r="F451" s="48"/>
      <c r="G451" s="48"/>
      <c r="H451" s="48"/>
      <c r="I451" s="48"/>
      <c r="J451" s="48"/>
      <c r="K451" s="48"/>
      <c r="L451" s="48"/>
      <c r="M451" s="48"/>
      <c r="N451" s="48"/>
      <c r="O451" s="48"/>
      <c r="P451" s="48"/>
      <c r="Q451" s="48"/>
    </row>
    <row r="452" spans="2:17" s="46" customFormat="1" ht="15" customHeight="1">
      <c r="B452" s="47"/>
      <c r="C452" s="48"/>
      <c r="D452" s="48"/>
      <c r="E452" s="48"/>
      <c r="F452" s="48"/>
      <c r="G452" s="48"/>
      <c r="H452" s="48"/>
      <c r="I452" s="48"/>
      <c r="J452" s="48"/>
      <c r="K452" s="48"/>
      <c r="L452" s="48"/>
      <c r="M452" s="48"/>
      <c r="N452" s="48"/>
      <c r="O452" s="48"/>
      <c r="P452" s="48"/>
      <c r="Q452" s="48"/>
    </row>
    <row r="453" spans="2:17" s="46" customFormat="1" ht="15" customHeight="1">
      <c r="B453" s="47"/>
      <c r="C453" s="48"/>
      <c r="D453" s="48"/>
      <c r="E453" s="48"/>
      <c r="F453" s="48"/>
      <c r="G453" s="48"/>
      <c r="H453" s="48"/>
      <c r="I453" s="48"/>
      <c r="J453" s="48"/>
      <c r="K453" s="48"/>
      <c r="L453" s="48"/>
      <c r="M453" s="48"/>
      <c r="N453" s="48"/>
      <c r="O453" s="48"/>
      <c r="P453" s="48"/>
      <c r="Q453" s="48"/>
    </row>
    <row r="454" spans="2:17" s="46" customFormat="1" ht="15" customHeight="1">
      <c r="B454" s="47"/>
      <c r="C454" s="48"/>
      <c r="D454" s="48"/>
      <c r="E454" s="48"/>
      <c r="F454" s="48"/>
      <c r="G454" s="48"/>
      <c r="H454" s="48"/>
      <c r="I454" s="48"/>
      <c r="J454" s="48"/>
      <c r="K454" s="48"/>
      <c r="L454" s="48"/>
      <c r="M454" s="48"/>
      <c r="N454" s="48"/>
      <c r="O454" s="48"/>
      <c r="P454" s="48"/>
      <c r="Q454" s="48"/>
    </row>
    <row r="455" spans="2:17" s="46" customFormat="1" ht="15" customHeight="1">
      <c r="B455" s="47"/>
      <c r="C455" s="48"/>
      <c r="D455" s="48"/>
      <c r="E455" s="48"/>
      <c r="F455" s="48"/>
      <c r="G455" s="48"/>
      <c r="H455" s="48"/>
      <c r="I455" s="48"/>
      <c r="J455" s="48"/>
      <c r="K455" s="48"/>
      <c r="L455" s="48"/>
      <c r="M455" s="48"/>
      <c r="N455" s="48"/>
      <c r="O455" s="48"/>
      <c r="P455" s="48"/>
      <c r="Q455" s="48"/>
    </row>
    <row r="456" spans="2:17" s="46" customFormat="1" ht="15" customHeight="1">
      <c r="B456" s="47"/>
      <c r="C456" s="48"/>
      <c r="D456" s="48"/>
      <c r="E456" s="48"/>
      <c r="F456" s="48"/>
      <c r="G456" s="48"/>
      <c r="H456" s="48"/>
      <c r="I456" s="48"/>
      <c r="J456" s="48"/>
      <c r="K456" s="48"/>
      <c r="L456" s="48"/>
      <c r="M456" s="48"/>
      <c r="N456" s="48"/>
      <c r="O456" s="48"/>
      <c r="P456" s="48"/>
      <c r="Q456" s="48"/>
    </row>
    <row r="457" spans="2:17" s="46" customFormat="1" ht="15" customHeight="1">
      <c r="B457" s="47"/>
      <c r="C457" s="48"/>
      <c r="D457" s="48"/>
      <c r="E457" s="48"/>
      <c r="F457" s="48"/>
      <c r="G457" s="48"/>
      <c r="H457" s="48"/>
      <c r="I457" s="48"/>
      <c r="J457" s="48"/>
      <c r="K457" s="48"/>
      <c r="L457" s="48"/>
      <c r="M457" s="48"/>
      <c r="N457" s="48"/>
      <c r="O457" s="48"/>
      <c r="P457" s="48"/>
      <c r="Q457" s="48"/>
    </row>
    <row r="458" spans="2:17" s="46" customFormat="1" ht="15" customHeight="1">
      <c r="B458" s="47"/>
      <c r="C458" s="48"/>
      <c r="D458" s="48"/>
      <c r="E458" s="48"/>
      <c r="F458" s="48"/>
      <c r="G458" s="48"/>
      <c r="H458" s="48"/>
      <c r="I458" s="48"/>
      <c r="J458" s="48"/>
      <c r="K458" s="48"/>
      <c r="L458" s="48"/>
      <c r="M458" s="48"/>
      <c r="N458" s="48"/>
      <c r="O458" s="48"/>
      <c r="P458" s="48"/>
      <c r="Q458" s="48"/>
    </row>
    <row r="459" spans="2:17" s="46" customFormat="1" ht="15" customHeight="1">
      <c r="B459" s="47"/>
      <c r="C459" s="48"/>
      <c r="D459" s="48"/>
      <c r="E459" s="48"/>
      <c r="F459" s="48"/>
      <c r="G459" s="48"/>
      <c r="H459" s="48"/>
      <c r="I459" s="48"/>
      <c r="J459" s="48"/>
      <c r="K459" s="48"/>
      <c r="L459" s="48"/>
      <c r="M459" s="48"/>
      <c r="N459" s="48"/>
      <c r="O459" s="48"/>
      <c r="P459" s="48"/>
      <c r="Q459" s="48"/>
    </row>
    <row r="460" spans="2:17" s="46" customFormat="1" ht="15" customHeight="1">
      <c r="B460" s="47"/>
      <c r="C460" s="48"/>
      <c r="D460" s="48"/>
      <c r="E460" s="48"/>
      <c r="F460" s="48"/>
      <c r="G460" s="48"/>
      <c r="H460" s="48"/>
      <c r="I460" s="48"/>
      <c r="J460" s="48"/>
      <c r="K460" s="48"/>
      <c r="L460" s="48"/>
      <c r="M460" s="48"/>
      <c r="N460" s="48"/>
      <c r="O460" s="48"/>
      <c r="P460" s="48"/>
      <c r="Q460" s="48"/>
    </row>
    <row r="461" spans="2:17" s="46" customFormat="1" ht="15" customHeight="1">
      <c r="B461" s="47"/>
      <c r="C461" s="48"/>
      <c r="D461" s="48"/>
      <c r="E461" s="48"/>
      <c r="F461" s="48"/>
      <c r="G461" s="48"/>
      <c r="H461" s="48"/>
      <c r="I461" s="48"/>
      <c r="J461" s="48"/>
      <c r="K461" s="48"/>
      <c r="L461" s="48"/>
      <c r="M461" s="48"/>
      <c r="N461" s="48"/>
      <c r="O461" s="48"/>
      <c r="P461" s="48"/>
      <c r="Q461" s="48"/>
    </row>
    <row r="462" spans="2:17" s="46" customFormat="1" ht="15" customHeight="1">
      <c r="B462" s="47"/>
      <c r="C462" s="48"/>
      <c r="D462" s="48"/>
      <c r="E462" s="48"/>
      <c r="F462" s="48"/>
      <c r="G462" s="48"/>
      <c r="H462" s="48"/>
      <c r="I462" s="48"/>
      <c r="J462" s="48"/>
      <c r="K462" s="48"/>
      <c r="L462" s="48"/>
      <c r="M462" s="48"/>
      <c r="N462" s="48"/>
      <c r="O462" s="48"/>
      <c r="P462" s="48"/>
      <c r="Q462" s="48"/>
    </row>
    <row r="463" spans="2:17" s="46" customFormat="1" ht="15" customHeight="1">
      <c r="B463" s="47"/>
      <c r="C463" s="48"/>
      <c r="D463" s="48"/>
      <c r="E463" s="48"/>
      <c r="F463" s="48"/>
      <c r="G463" s="48"/>
      <c r="H463" s="48"/>
      <c r="I463" s="48"/>
      <c r="J463" s="48"/>
      <c r="K463" s="48"/>
      <c r="L463" s="48"/>
      <c r="M463" s="48"/>
      <c r="N463" s="48"/>
      <c r="O463" s="48"/>
      <c r="P463" s="48"/>
      <c r="Q463" s="48"/>
    </row>
    <row r="464" spans="2:17" s="46" customFormat="1" ht="15" customHeight="1">
      <c r="B464" s="47"/>
      <c r="C464" s="48"/>
      <c r="D464" s="48"/>
      <c r="E464" s="48"/>
      <c r="F464" s="48"/>
      <c r="G464" s="48"/>
      <c r="H464" s="48"/>
      <c r="I464" s="48"/>
      <c r="J464" s="48"/>
      <c r="K464" s="48"/>
      <c r="L464" s="48"/>
      <c r="M464" s="48"/>
      <c r="N464" s="48"/>
      <c r="O464" s="48"/>
      <c r="P464" s="48"/>
      <c r="Q464" s="48"/>
    </row>
    <row r="465" spans="2:17" s="46" customFormat="1" ht="15" customHeight="1">
      <c r="B465" s="47"/>
      <c r="C465" s="48"/>
      <c r="D465" s="48"/>
      <c r="E465" s="48"/>
      <c r="F465" s="48"/>
      <c r="G465" s="48"/>
      <c r="H465" s="48"/>
      <c r="I465" s="48"/>
      <c r="J465" s="48"/>
      <c r="K465" s="48"/>
      <c r="L465" s="48"/>
      <c r="M465" s="48"/>
      <c r="N465" s="48"/>
      <c r="O465" s="48"/>
      <c r="P465" s="48"/>
      <c r="Q465" s="48"/>
    </row>
    <row r="466" spans="2:17" s="46" customFormat="1" ht="15" customHeight="1">
      <c r="B466" s="47"/>
      <c r="C466" s="48"/>
      <c r="D466" s="48"/>
      <c r="E466" s="48"/>
      <c r="F466" s="48"/>
      <c r="G466" s="48"/>
      <c r="H466" s="48"/>
      <c r="I466" s="48"/>
      <c r="J466" s="48"/>
      <c r="K466" s="48"/>
      <c r="L466" s="48"/>
      <c r="M466" s="48"/>
      <c r="N466" s="48"/>
      <c r="O466" s="48"/>
      <c r="P466" s="48"/>
      <c r="Q466" s="48"/>
    </row>
    <row r="467" spans="2:17" s="46" customFormat="1" ht="15" customHeight="1">
      <c r="B467" s="47"/>
      <c r="C467" s="48"/>
      <c r="D467" s="48"/>
      <c r="E467" s="48"/>
      <c r="F467" s="48"/>
      <c r="G467" s="48"/>
      <c r="H467" s="48"/>
      <c r="I467" s="48"/>
      <c r="J467" s="48"/>
      <c r="K467" s="48"/>
      <c r="L467" s="48"/>
      <c r="M467" s="48"/>
      <c r="N467" s="48"/>
      <c r="O467" s="48"/>
      <c r="P467" s="48"/>
      <c r="Q467" s="48"/>
    </row>
    <row r="468" spans="2:17" s="46" customFormat="1" ht="15" customHeight="1">
      <c r="B468" s="47"/>
      <c r="C468" s="48"/>
      <c r="D468" s="48"/>
      <c r="E468" s="48"/>
      <c r="F468" s="48"/>
      <c r="G468" s="48"/>
      <c r="H468" s="48"/>
      <c r="I468" s="48"/>
      <c r="J468" s="48"/>
      <c r="K468" s="48"/>
      <c r="L468" s="48"/>
      <c r="M468" s="48"/>
      <c r="N468" s="48"/>
      <c r="O468" s="48"/>
      <c r="P468" s="48"/>
      <c r="Q468" s="48"/>
    </row>
    <row r="469" spans="2:17" s="46" customFormat="1" ht="15" customHeight="1">
      <c r="B469" s="47"/>
      <c r="C469" s="48"/>
      <c r="D469" s="48"/>
      <c r="E469" s="48"/>
      <c r="F469" s="48"/>
      <c r="G469" s="48"/>
      <c r="H469" s="48"/>
      <c r="I469" s="48"/>
      <c r="J469" s="48"/>
      <c r="K469" s="48"/>
      <c r="L469" s="48"/>
      <c r="M469" s="48"/>
      <c r="N469" s="48"/>
      <c r="O469" s="48"/>
      <c r="P469" s="48"/>
      <c r="Q469" s="48"/>
    </row>
    <row r="470" spans="2:17" s="46" customFormat="1" ht="15" customHeight="1">
      <c r="B470" s="47"/>
      <c r="C470" s="48"/>
      <c r="D470" s="48"/>
      <c r="E470" s="48"/>
      <c r="F470" s="48"/>
      <c r="G470" s="48"/>
      <c r="H470" s="48"/>
      <c r="I470" s="48"/>
      <c r="J470" s="48"/>
      <c r="K470" s="48"/>
      <c r="L470" s="48"/>
      <c r="M470" s="48"/>
      <c r="N470" s="48"/>
      <c r="O470" s="48"/>
      <c r="P470" s="48"/>
      <c r="Q470" s="48"/>
    </row>
    <row r="471" spans="2:17" s="46" customFormat="1" ht="15" customHeight="1">
      <c r="B471" s="47"/>
      <c r="C471" s="48"/>
      <c r="D471" s="48"/>
      <c r="E471" s="48"/>
      <c r="F471" s="48"/>
      <c r="G471" s="48"/>
      <c r="H471" s="48"/>
      <c r="I471" s="48"/>
      <c r="J471" s="48"/>
      <c r="K471" s="48"/>
      <c r="L471" s="48"/>
      <c r="M471" s="48"/>
      <c r="N471" s="48"/>
      <c r="O471" s="48"/>
      <c r="P471" s="48"/>
      <c r="Q471" s="48"/>
    </row>
    <row r="472" spans="2:17" s="46" customFormat="1" ht="15" customHeight="1">
      <c r="B472" s="47"/>
      <c r="C472" s="48"/>
      <c r="D472" s="48"/>
      <c r="E472" s="48"/>
      <c r="F472" s="48"/>
      <c r="G472" s="48"/>
      <c r="H472" s="48"/>
      <c r="I472" s="48"/>
      <c r="J472" s="48"/>
      <c r="K472" s="48"/>
      <c r="L472" s="48"/>
      <c r="M472" s="48"/>
      <c r="N472" s="48"/>
      <c r="O472" s="48"/>
      <c r="P472" s="48"/>
      <c r="Q472" s="48"/>
    </row>
    <row r="473" spans="2:17" s="46" customFormat="1" ht="15" customHeight="1">
      <c r="B473" s="47"/>
      <c r="C473" s="48"/>
      <c r="D473" s="48"/>
      <c r="E473" s="48"/>
      <c r="F473" s="48"/>
      <c r="G473" s="48"/>
      <c r="H473" s="48"/>
      <c r="I473" s="48"/>
      <c r="J473" s="48"/>
      <c r="K473" s="48"/>
      <c r="L473" s="48"/>
      <c r="M473" s="48"/>
      <c r="N473" s="48"/>
      <c r="O473" s="48"/>
      <c r="P473" s="48"/>
      <c r="Q473" s="48"/>
    </row>
    <row r="474" spans="2:17" s="46" customFormat="1" ht="15" customHeight="1">
      <c r="B474" s="47"/>
      <c r="C474" s="48"/>
      <c r="D474" s="48"/>
      <c r="E474" s="48"/>
      <c r="F474" s="48"/>
      <c r="G474" s="48"/>
      <c r="H474" s="48"/>
      <c r="I474" s="48"/>
      <c r="J474" s="48"/>
      <c r="K474" s="48"/>
      <c r="L474" s="48"/>
      <c r="M474" s="48"/>
      <c r="N474" s="48"/>
      <c r="O474" s="48"/>
      <c r="P474" s="48"/>
      <c r="Q474" s="48"/>
    </row>
    <row r="475" spans="2:17" s="46" customFormat="1" ht="15" customHeight="1">
      <c r="B475" s="47"/>
      <c r="C475" s="48"/>
      <c r="D475" s="48"/>
      <c r="E475" s="48"/>
      <c r="F475" s="48"/>
      <c r="G475" s="48"/>
      <c r="H475" s="48"/>
      <c r="I475" s="48"/>
      <c r="J475" s="48"/>
      <c r="K475" s="48"/>
      <c r="L475" s="48"/>
      <c r="M475" s="48"/>
      <c r="N475" s="48"/>
      <c r="O475" s="48"/>
      <c r="P475" s="48"/>
      <c r="Q475" s="48"/>
    </row>
    <row r="476" spans="2:17" s="46" customFormat="1" ht="15" customHeight="1">
      <c r="B476" s="47"/>
      <c r="C476" s="48"/>
      <c r="D476" s="48"/>
      <c r="E476" s="48"/>
      <c r="F476" s="48"/>
      <c r="G476" s="48"/>
      <c r="H476" s="48"/>
      <c r="I476" s="48"/>
      <c r="J476" s="48"/>
      <c r="K476" s="48"/>
      <c r="L476" s="48"/>
      <c r="M476" s="48"/>
      <c r="N476" s="48"/>
      <c r="O476" s="48"/>
      <c r="P476" s="48"/>
      <c r="Q476" s="48"/>
    </row>
    <row r="477" spans="2:17" s="46" customFormat="1" ht="15" customHeight="1">
      <c r="B477" s="47"/>
      <c r="C477" s="48"/>
      <c r="D477" s="48"/>
      <c r="E477" s="48"/>
      <c r="F477" s="48"/>
      <c r="G477" s="48"/>
      <c r="H477" s="48"/>
      <c r="I477" s="48"/>
      <c r="J477" s="48"/>
      <c r="K477" s="48"/>
      <c r="L477" s="48"/>
      <c r="M477" s="48"/>
      <c r="N477" s="48"/>
      <c r="O477" s="48"/>
      <c r="P477" s="48"/>
      <c r="Q477" s="48"/>
    </row>
    <row r="478" spans="2:17" s="46" customFormat="1" ht="15" customHeight="1">
      <c r="B478" s="47"/>
      <c r="C478" s="48"/>
      <c r="D478" s="48"/>
      <c r="E478" s="48"/>
      <c r="F478" s="48"/>
      <c r="G478" s="48"/>
      <c r="H478" s="48"/>
      <c r="I478" s="48"/>
      <c r="J478" s="48"/>
      <c r="K478" s="48"/>
      <c r="L478" s="48"/>
      <c r="M478" s="48"/>
      <c r="N478" s="48"/>
      <c r="O478" s="48"/>
      <c r="P478" s="48"/>
      <c r="Q478" s="48"/>
    </row>
    <row r="479" spans="2:17" s="46" customFormat="1" ht="15" customHeight="1">
      <c r="B479" s="47"/>
      <c r="C479" s="48"/>
      <c r="D479" s="48"/>
      <c r="E479" s="48"/>
      <c r="F479" s="48"/>
      <c r="G479" s="48"/>
      <c r="H479" s="48"/>
      <c r="I479" s="48"/>
      <c r="J479" s="48"/>
      <c r="K479" s="48"/>
      <c r="L479" s="48"/>
      <c r="M479" s="48"/>
      <c r="N479" s="48"/>
      <c r="O479" s="48"/>
      <c r="P479" s="48"/>
      <c r="Q479" s="48"/>
    </row>
    <row r="480" spans="2:17" s="46" customFormat="1" ht="15" customHeight="1">
      <c r="B480" s="47"/>
      <c r="C480" s="48"/>
      <c r="D480" s="48"/>
      <c r="E480" s="48"/>
      <c r="F480" s="48"/>
      <c r="G480" s="48"/>
      <c r="H480" s="48"/>
      <c r="I480" s="48"/>
      <c r="J480" s="48"/>
      <c r="K480" s="48"/>
      <c r="L480" s="48"/>
      <c r="M480" s="48"/>
      <c r="N480" s="48"/>
      <c r="O480" s="48"/>
      <c r="P480" s="48"/>
      <c r="Q480" s="48"/>
    </row>
    <row r="481" spans="2:17" s="46" customFormat="1" ht="15" customHeight="1">
      <c r="B481" s="47"/>
      <c r="C481" s="48"/>
      <c r="D481" s="48"/>
      <c r="E481" s="48"/>
      <c r="F481" s="48"/>
      <c r="G481" s="48"/>
      <c r="H481" s="48"/>
      <c r="I481" s="48"/>
      <c r="J481" s="48"/>
      <c r="K481" s="48"/>
      <c r="L481" s="48"/>
      <c r="M481" s="48"/>
      <c r="N481" s="48"/>
      <c r="O481" s="48"/>
      <c r="P481" s="48"/>
      <c r="Q481" s="48"/>
    </row>
    <row r="482" spans="2:17" s="46" customFormat="1" ht="15" customHeight="1">
      <c r="B482" s="47"/>
      <c r="C482" s="48"/>
      <c r="D482" s="48"/>
      <c r="E482" s="48"/>
      <c r="F482" s="48"/>
      <c r="G482" s="48"/>
      <c r="H482" s="48"/>
      <c r="I482" s="48"/>
      <c r="J482" s="48"/>
      <c r="K482" s="48"/>
      <c r="L482" s="48"/>
      <c r="M482" s="48"/>
      <c r="N482" s="48"/>
      <c r="O482" s="48"/>
      <c r="P482" s="48"/>
      <c r="Q482" s="48"/>
    </row>
    <row r="483" spans="2:17" s="46" customFormat="1" ht="15" customHeight="1">
      <c r="B483" s="47"/>
      <c r="C483" s="48"/>
      <c r="D483" s="48"/>
      <c r="E483" s="48"/>
      <c r="F483" s="48"/>
      <c r="G483" s="48"/>
      <c r="H483" s="48"/>
      <c r="I483" s="48"/>
      <c r="J483" s="48"/>
      <c r="K483" s="48"/>
      <c r="L483" s="48"/>
      <c r="M483" s="48"/>
      <c r="N483" s="48"/>
      <c r="O483" s="48"/>
      <c r="P483" s="48"/>
      <c r="Q483" s="48"/>
    </row>
    <row r="484" spans="2:17" s="46" customFormat="1" ht="15" customHeight="1">
      <c r="B484" s="47"/>
      <c r="C484" s="48"/>
      <c r="D484" s="48"/>
      <c r="E484" s="48"/>
      <c r="F484" s="48"/>
      <c r="G484" s="48"/>
      <c r="H484" s="48"/>
      <c r="I484" s="48"/>
      <c r="J484" s="48"/>
      <c r="K484" s="48"/>
      <c r="L484" s="48"/>
      <c r="M484" s="48"/>
      <c r="N484" s="48"/>
      <c r="O484" s="48"/>
      <c r="P484" s="48"/>
      <c r="Q484" s="48"/>
    </row>
    <row r="485" spans="2:17" s="46" customFormat="1" ht="15" customHeight="1">
      <c r="B485" s="47"/>
      <c r="C485" s="48"/>
      <c r="D485" s="48"/>
      <c r="E485" s="48"/>
      <c r="F485" s="48"/>
      <c r="G485" s="48"/>
      <c r="H485" s="48"/>
      <c r="I485" s="48"/>
      <c r="J485" s="48"/>
      <c r="K485" s="48"/>
      <c r="L485" s="48"/>
      <c r="M485" s="48"/>
      <c r="N485" s="48"/>
      <c r="O485" s="48"/>
      <c r="P485" s="48"/>
      <c r="Q485" s="48"/>
    </row>
    <row r="486" spans="2:17" s="46" customFormat="1" ht="15" customHeight="1">
      <c r="B486" s="47"/>
      <c r="C486" s="48"/>
      <c r="D486" s="48"/>
      <c r="E486" s="48"/>
      <c r="F486" s="48"/>
      <c r="G486" s="48"/>
      <c r="H486" s="48"/>
      <c r="I486" s="48"/>
      <c r="J486" s="48"/>
      <c r="K486" s="48"/>
      <c r="L486" s="48"/>
      <c r="M486" s="48"/>
      <c r="N486" s="48"/>
      <c r="O486" s="48"/>
      <c r="P486" s="48"/>
      <c r="Q486" s="48"/>
    </row>
    <row r="487" spans="2:17" s="46" customFormat="1" ht="15" customHeight="1">
      <c r="B487" s="47"/>
      <c r="C487" s="48"/>
      <c r="D487" s="48"/>
      <c r="E487" s="48"/>
      <c r="F487" s="48"/>
      <c r="G487" s="48"/>
      <c r="H487" s="48"/>
      <c r="I487" s="48"/>
      <c r="J487" s="48"/>
      <c r="K487" s="48"/>
      <c r="L487" s="48"/>
      <c r="M487" s="48"/>
      <c r="N487" s="48"/>
      <c r="O487" s="48"/>
      <c r="P487" s="48"/>
      <c r="Q487" s="48"/>
    </row>
    <row r="488" spans="2:17" s="46" customFormat="1" ht="15" customHeight="1">
      <c r="B488" s="47"/>
      <c r="C488" s="48"/>
      <c r="D488" s="48"/>
      <c r="E488" s="48"/>
      <c r="F488" s="48"/>
      <c r="G488" s="48"/>
      <c r="H488" s="48"/>
      <c r="I488" s="48"/>
      <c r="J488" s="48"/>
      <c r="K488" s="48"/>
      <c r="L488" s="48"/>
      <c r="M488" s="48"/>
      <c r="N488" s="48"/>
      <c r="O488" s="48"/>
      <c r="P488" s="48"/>
      <c r="Q488" s="48"/>
    </row>
    <row r="489" spans="2:17" s="46" customFormat="1" ht="15" customHeight="1">
      <c r="B489" s="47"/>
      <c r="C489" s="48"/>
      <c r="D489" s="48"/>
      <c r="E489" s="48"/>
      <c r="F489" s="48"/>
      <c r="G489" s="48"/>
      <c r="H489" s="48"/>
      <c r="I489" s="48"/>
      <c r="J489" s="48"/>
      <c r="K489" s="48"/>
      <c r="L489" s="48"/>
      <c r="M489" s="48"/>
      <c r="N489" s="48"/>
      <c r="O489" s="48"/>
      <c r="P489" s="48"/>
      <c r="Q489" s="48"/>
    </row>
    <row r="490" spans="2:17" s="46" customFormat="1" ht="15" customHeight="1">
      <c r="B490" s="47"/>
      <c r="C490" s="48"/>
      <c r="D490" s="48"/>
      <c r="E490" s="48"/>
      <c r="F490" s="48"/>
      <c r="G490" s="48"/>
      <c r="H490" s="48"/>
      <c r="I490" s="48"/>
      <c r="J490" s="48"/>
      <c r="K490" s="48"/>
      <c r="L490" s="48"/>
      <c r="M490" s="48"/>
      <c r="N490" s="48"/>
      <c r="O490" s="48"/>
      <c r="P490" s="48"/>
      <c r="Q490" s="48"/>
    </row>
    <row r="491" spans="2:17" s="46" customFormat="1" ht="15" customHeight="1">
      <c r="B491" s="47"/>
      <c r="C491" s="48"/>
      <c r="D491" s="48"/>
      <c r="E491" s="48"/>
      <c r="F491" s="48"/>
      <c r="G491" s="48"/>
      <c r="H491" s="48"/>
      <c r="I491" s="48"/>
      <c r="J491" s="48"/>
      <c r="K491" s="48"/>
      <c r="L491" s="48"/>
      <c r="M491" s="48"/>
      <c r="N491" s="48"/>
      <c r="O491" s="48"/>
      <c r="P491" s="48"/>
      <c r="Q491" s="48"/>
    </row>
    <row r="492" spans="2:17" s="46" customFormat="1" ht="15" customHeight="1">
      <c r="B492" s="47"/>
      <c r="C492" s="48"/>
      <c r="D492" s="48"/>
      <c r="E492" s="48"/>
      <c r="F492" s="48"/>
      <c r="G492" s="48"/>
      <c r="H492" s="48"/>
      <c r="I492" s="48"/>
      <c r="J492" s="48"/>
      <c r="K492" s="48"/>
      <c r="L492" s="48"/>
      <c r="M492" s="48"/>
      <c r="N492" s="48"/>
      <c r="O492" s="48"/>
      <c r="P492" s="48"/>
      <c r="Q492" s="48"/>
    </row>
    <row r="493" spans="2:17" s="46" customFormat="1" ht="15" customHeight="1">
      <c r="B493" s="47"/>
      <c r="C493" s="48"/>
      <c r="D493" s="48"/>
      <c r="E493" s="48"/>
      <c r="F493" s="48"/>
      <c r="G493" s="48"/>
      <c r="H493" s="48"/>
      <c r="I493" s="48"/>
      <c r="J493" s="48"/>
      <c r="K493" s="48"/>
      <c r="L493" s="48"/>
      <c r="M493" s="48"/>
      <c r="N493" s="48"/>
      <c r="O493" s="48"/>
      <c r="P493" s="48"/>
      <c r="Q493" s="48"/>
    </row>
    <row r="494" spans="2:17" s="46" customFormat="1" ht="15" customHeight="1">
      <c r="B494" s="47"/>
      <c r="C494" s="48"/>
      <c r="D494" s="48"/>
      <c r="E494" s="48"/>
      <c r="F494" s="48"/>
      <c r="G494" s="48"/>
      <c r="H494" s="48"/>
      <c r="I494" s="48"/>
      <c r="J494" s="48"/>
      <c r="K494" s="48"/>
      <c r="L494" s="48"/>
      <c r="M494" s="48"/>
      <c r="N494" s="48"/>
      <c r="O494" s="48"/>
      <c r="P494" s="48"/>
      <c r="Q494" s="48"/>
    </row>
    <row r="495" spans="2:17" s="46" customFormat="1" ht="15" customHeight="1">
      <c r="B495" s="47"/>
      <c r="C495" s="48"/>
      <c r="D495" s="48"/>
      <c r="E495" s="48"/>
      <c r="F495" s="48"/>
      <c r="G495" s="48"/>
      <c r="H495" s="48"/>
      <c r="I495" s="48"/>
      <c r="J495" s="48"/>
      <c r="K495" s="48"/>
      <c r="L495" s="48"/>
      <c r="M495" s="48"/>
      <c r="N495" s="48"/>
      <c r="O495" s="48"/>
      <c r="P495" s="48"/>
      <c r="Q495" s="48"/>
    </row>
    <row r="496" spans="2:17" s="46" customFormat="1" ht="15" customHeight="1">
      <c r="B496" s="47"/>
      <c r="C496" s="48"/>
      <c r="D496" s="48"/>
      <c r="E496" s="48"/>
      <c r="F496" s="48"/>
      <c r="G496" s="48"/>
      <c r="H496" s="48"/>
      <c r="I496" s="48"/>
      <c r="J496" s="48"/>
      <c r="K496" s="48"/>
      <c r="L496" s="48"/>
      <c r="M496" s="48"/>
      <c r="N496" s="48"/>
      <c r="O496" s="48"/>
      <c r="P496" s="48"/>
      <c r="Q496" s="48"/>
    </row>
    <row r="497" spans="2:17" s="46" customFormat="1" ht="15" customHeight="1">
      <c r="B497" s="47"/>
      <c r="C497" s="48"/>
      <c r="D497" s="48"/>
      <c r="E497" s="48"/>
      <c r="F497" s="48"/>
      <c r="G497" s="48"/>
      <c r="H497" s="48"/>
      <c r="I497" s="48"/>
      <c r="J497" s="48"/>
      <c r="K497" s="48"/>
      <c r="L497" s="48"/>
      <c r="M497" s="48"/>
      <c r="N497" s="48"/>
      <c r="O497" s="48"/>
      <c r="P497" s="48"/>
      <c r="Q497" s="48"/>
    </row>
    <row r="498" spans="2:17" s="46" customFormat="1" ht="15" customHeight="1">
      <c r="B498" s="47"/>
      <c r="C498" s="48"/>
      <c r="D498" s="48"/>
      <c r="E498" s="48"/>
      <c r="F498" s="48"/>
      <c r="G498" s="48"/>
      <c r="H498" s="48"/>
      <c r="I498" s="48"/>
      <c r="J498" s="48"/>
      <c r="K498" s="48"/>
      <c r="L498" s="48"/>
      <c r="M498" s="48"/>
      <c r="N498" s="48"/>
      <c r="O498" s="48"/>
      <c r="P498" s="48"/>
      <c r="Q498" s="48"/>
    </row>
    <row r="499" spans="2:17" s="46" customFormat="1" ht="15" customHeight="1">
      <c r="B499" s="47"/>
      <c r="C499" s="48"/>
      <c r="D499" s="48"/>
      <c r="E499" s="48"/>
      <c r="F499" s="48"/>
      <c r="G499" s="48"/>
      <c r="H499" s="48"/>
      <c r="I499" s="48"/>
      <c r="J499" s="48"/>
      <c r="K499" s="48"/>
      <c r="L499" s="48"/>
      <c r="M499" s="48"/>
      <c r="N499" s="48"/>
      <c r="O499" s="48"/>
      <c r="P499" s="48"/>
      <c r="Q499" s="48"/>
    </row>
    <row r="500" spans="2:17" s="46" customFormat="1" ht="15" customHeight="1">
      <c r="B500" s="47"/>
      <c r="C500" s="48"/>
      <c r="D500" s="48"/>
      <c r="E500" s="48"/>
      <c r="F500" s="48"/>
      <c r="G500" s="48"/>
      <c r="H500" s="48"/>
      <c r="I500" s="48"/>
      <c r="J500" s="48"/>
      <c r="K500" s="48"/>
      <c r="L500" s="48"/>
      <c r="M500" s="48"/>
      <c r="N500" s="48"/>
      <c r="O500" s="48"/>
      <c r="P500" s="48"/>
      <c r="Q500" s="48"/>
    </row>
    <row r="501" spans="2:17" s="46" customFormat="1" ht="15" customHeight="1">
      <c r="B501" s="47"/>
      <c r="C501" s="48"/>
      <c r="D501" s="48"/>
      <c r="E501" s="48"/>
      <c r="F501" s="48"/>
      <c r="G501" s="48"/>
      <c r="H501" s="48"/>
      <c r="I501" s="48"/>
      <c r="J501" s="48"/>
      <c r="K501" s="48"/>
      <c r="L501" s="48"/>
      <c r="M501" s="48"/>
      <c r="N501" s="48"/>
      <c r="O501" s="48"/>
      <c r="P501" s="48"/>
      <c r="Q501" s="48"/>
    </row>
    <row r="502" spans="2:17" s="46" customFormat="1" ht="15" customHeight="1">
      <c r="B502" s="47"/>
      <c r="C502" s="48"/>
      <c r="D502" s="48"/>
      <c r="E502" s="48"/>
      <c r="F502" s="48"/>
      <c r="G502" s="48"/>
      <c r="H502" s="48"/>
      <c r="I502" s="48"/>
      <c r="J502" s="48"/>
      <c r="K502" s="48"/>
      <c r="L502" s="48"/>
      <c r="M502" s="48"/>
      <c r="N502" s="48"/>
      <c r="O502" s="48"/>
      <c r="P502" s="48"/>
      <c r="Q502" s="48"/>
    </row>
    <row r="503" spans="2:17" s="46" customFormat="1" ht="15" customHeight="1">
      <c r="B503" s="47"/>
      <c r="C503" s="48"/>
      <c r="D503" s="48"/>
      <c r="E503" s="48"/>
      <c r="F503" s="48"/>
      <c r="G503" s="48"/>
      <c r="H503" s="48"/>
      <c r="I503" s="48"/>
      <c r="J503" s="48"/>
      <c r="K503" s="48"/>
      <c r="L503" s="48"/>
      <c r="M503" s="48"/>
      <c r="N503" s="48"/>
      <c r="O503" s="48"/>
      <c r="P503" s="48"/>
      <c r="Q503" s="48"/>
    </row>
    <row r="504" spans="2:17" s="46" customFormat="1" ht="15" customHeight="1">
      <c r="B504" s="47"/>
      <c r="C504" s="48"/>
      <c r="D504" s="48"/>
      <c r="E504" s="48"/>
      <c r="F504" s="48"/>
      <c r="G504" s="48"/>
      <c r="H504" s="48"/>
      <c r="I504" s="48"/>
      <c r="J504" s="48"/>
      <c r="K504" s="48"/>
      <c r="L504" s="48"/>
      <c r="M504" s="48"/>
      <c r="N504" s="48"/>
      <c r="O504" s="48"/>
      <c r="P504" s="48"/>
      <c r="Q504" s="48"/>
    </row>
    <row r="505" spans="2:17" s="46" customFormat="1" ht="15" customHeight="1">
      <c r="B505" s="47"/>
      <c r="C505" s="48"/>
      <c r="D505" s="48"/>
      <c r="E505" s="48"/>
      <c r="F505" s="48"/>
      <c r="G505" s="48"/>
      <c r="H505" s="48"/>
      <c r="I505" s="48"/>
      <c r="J505" s="48"/>
      <c r="K505" s="48"/>
      <c r="L505" s="48"/>
      <c r="M505" s="48"/>
      <c r="N505" s="48"/>
      <c r="O505" s="48"/>
      <c r="P505" s="48"/>
      <c r="Q505" s="48"/>
    </row>
    <row r="506" spans="2:17" s="46" customFormat="1" ht="15" customHeight="1">
      <c r="B506" s="47"/>
      <c r="C506" s="48"/>
      <c r="D506" s="48"/>
      <c r="E506" s="48"/>
      <c r="F506" s="48"/>
      <c r="G506" s="48"/>
      <c r="H506" s="48"/>
      <c r="I506" s="48"/>
      <c r="J506" s="48"/>
      <c r="K506" s="48"/>
      <c r="L506" s="48"/>
      <c r="M506" s="48"/>
      <c r="N506" s="48"/>
      <c r="O506" s="48"/>
      <c r="P506" s="48"/>
      <c r="Q506" s="48"/>
    </row>
    <row r="507" spans="2:17" s="46" customFormat="1" ht="15" customHeight="1">
      <c r="B507" s="47"/>
      <c r="C507" s="48"/>
      <c r="D507" s="48"/>
      <c r="E507" s="48"/>
      <c r="F507" s="48"/>
      <c r="G507" s="48"/>
      <c r="H507" s="48"/>
      <c r="I507" s="48"/>
      <c r="J507" s="48"/>
      <c r="K507" s="48"/>
      <c r="L507" s="48"/>
      <c r="M507" s="48"/>
      <c r="N507" s="48"/>
      <c r="O507" s="48"/>
      <c r="P507" s="48"/>
      <c r="Q507" s="48"/>
    </row>
    <row r="508" spans="2:17" s="46" customFormat="1" ht="15" customHeight="1">
      <c r="B508" s="47"/>
      <c r="C508" s="48"/>
      <c r="D508" s="48"/>
      <c r="E508" s="48"/>
      <c r="F508" s="48"/>
      <c r="G508" s="48"/>
      <c r="H508" s="48"/>
      <c r="I508" s="48"/>
      <c r="J508" s="48"/>
      <c r="K508" s="48"/>
      <c r="L508" s="48"/>
      <c r="M508" s="48"/>
      <c r="N508" s="48"/>
      <c r="O508" s="48"/>
      <c r="P508" s="48"/>
      <c r="Q508" s="48"/>
    </row>
    <row r="509" spans="2:17" s="46" customFormat="1" ht="15" customHeight="1">
      <c r="B509" s="47"/>
      <c r="C509" s="48"/>
      <c r="D509" s="48"/>
      <c r="E509" s="48"/>
      <c r="F509" s="48"/>
      <c r="G509" s="48"/>
      <c r="H509" s="48"/>
      <c r="I509" s="48"/>
      <c r="J509" s="48"/>
      <c r="K509" s="48"/>
      <c r="L509" s="48"/>
      <c r="M509" s="48"/>
      <c r="N509" s="48"/>
      <c r="O509" s="48"/>
      <c r="P509" s="48"/>
      <c r="Q509" s="48"/>
    </row>
  </sheetData>
  <mergeCells count="9">
    <mergeCell ref="C5:M5"/>
    <mergeCell ref="N5:Q5"/>
    <mergeCell ref="N6:Q6"/>
    <mergeCell ref="B1:Q1"/>
    <mergeCell ref="B3:C3"/>
    <mergeCell ref="N3:Q3"/>
    <mergeCell ref="C4:M4"/>
    <mergeCell ref="N4:Q4"/>
    <mergeCell ref="K3:M3"/>
  </mergeCells>
  <pageMargins left="0.511811023622047" right="0.511811023622047" top="0.55118110236220497" bottom="0.55118110236220497" header="0.31496062992126" footer="0.31496062992126"/>
  <pageSetup paperSize="9" scale="74"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499984740745262"/>
    <pageSetUpPr fitToPage="1"/>
  </sheetPr>
  <dimension ref="A1:M516"/>
  <sheetViews>
    <sheetView showGridLines="0" zoomScale="80" zoomScaleNormal="80" workbookViewId="0">
      <selection sqref="A1:G1"/>
    </sheetView>
  </sheetViews>
  <sheetFormatPr baseColWidth="10" defaultColWidth="11.44140625" defaultRowHeight="14.4"/>
  <cols>
    <col min="1" max="1" width="11.44140625" style="48"/>
    <col min="2" max="2" width="40.88671875" style="48" customWidth="1"/>
    <col min="3" max="4" width="11.44140625" style="48"/>
    <col min="5" max="5" width="12" style="48" customWidth="1"/>
    <col min="6" max="7" width="12.5546875" style="48" customWidth="1"/>
    <col min="8" max="12" width="11.44140625" style="48"/>
    <col min="13" max="13" width="3.109375" style="46" customWidth="1"/>
    <col min="14" max="16" width="3.33203125" style="48" customWidth="1"/>
    <col min="17" max="16384" width="11.44140625" style="48"/>
  </cols>
  <sheetData>
    <row r="1" spans="1:7" ht="15" customHeight="1">
      <c r="A1" s="867" t="s">
        <v>694</v>
      </c>
      <c r="B1" s="868"/>
      <c r="C1" s="868"/>
      <c r="D1" s="868"/>
      <c r="E1" s="868"/>
      <c r="F1" s="868"/>
      <c r="G1" s="869"/>
    </row>
    <row r="2" spans="1:7" ht="43.2">
      <c r="A2" s="23" t="s">
        <v>548</v>
      </c>
      <c r="B2" s="5" t="s">
        <v>294</v>
      </c>
      <c r="C2" s="5" t="s">
        <v>695</v>
      </c>
      <c r="D2" s="5" t="s">
        <v>696</v>
      </c>
      <c r="E2" s="5" t="s">
        <v>697</v>
      </c>
      <c r="F2" s="5" t="s">
        <v>698</v>
      </c>
      <c r="G2" s="24" t="s">
        <v>553</v>
      </c>
    </row>
    <row r="3" spans="1:7" ht="15" customHeight="1">
      <c r="A3" s="275"/>
      <c r="B3" s="265"/>
      <c r="C3" s="265"/>
      <c r="D3" s="265"/>
      <c r="E3" s="265"/>
      <c r="F3" s="265"/>
      <c r="G3" s="277"/>
    </row>
    <row r="4" spans="1:7" ht="15" customHeight="1">
      <c r="A4" s="67">
        <v>1</v>
      </c>
      <c r="B4" s="6" t="s">
        <v>699</v>
      </c>
      <c r="C4" s="58">
        <v>1400</v>
      </c>
      <c r="D4" s="68">
        <v>5.35</v>
      </c>
      <c r="E4" s="7">
        <f>D4*C4</f>
        <v>7489.9999999999991</v>
      </c>
      <c r="F4" s="9">
        <v>12</v>
      </c>
      <c r="G4" s="34">
        <f>(F4*E4)*A4</f>
        <v>89879.999999999985</v>
      </c>
    </row>
    <row r="5" spans="1:7" ht="15" customHeight="1">
      <c r="A5" s="67">
        <v>0</v>
      </c>
      <c r="B5" s="6" t="s">
        <v>700</v>
      </c>
      <c r="C5" s="58">
        <v>80</v>
      </c>
      <c r="D5" s="68">
        <v>20</v>
      </c>
      <c r="E5" s="7">
        <f>D5*C5</f>
        <v>1600</v>
      </c>
      <c r="F5" s="9">
        <v>12</v>
      </c>
      <c r="G5" s="34">
        <f>(F5*E5)*A5</f>
        <v>0</v>
      </c>
    </row>
    <row r="6" spans="1:7" s="46" customFormat="1" ht="15" customHeight="1">
      <c r="A6" s="67">
        <v>0</v>
      </c>
      <c r="B6" s="6" t="s">
        <v>701</v>
      </c>
      <c r="C6" s="58">
        <v>500</v>
      </c>
      <c r="D6" s="68">
        <v>4.8899999999999997</v>
      </c>
      <c r="E6" s="7">
        <f>D6*C6</f>
        <v>2445</v>
      </c>
      <c r="F6" s="9">
        <v>12</v>
      </c>
      <c r="G6" s="34">
        <f>(F6*E6)*A6</f>
        <v>0</v>
      </c>
    </row>
    <row r="7" spans="1:7" s="46" customFormat="1" ht="15" customHeight="1">
      <c r="A7" s="56"/>
      <c r="B7" s="6"/>
      <c r="C7" s="7"/>
      <c r="D7" s="8"/>
      <c r="E7" s="7"/>
      <c r="F7" s="9"/>
      <c r="G7" s="34"/>
    </row>
    <row r="8" spans="1:7" s="46" customFormat="1" ht="15" customHeight="1">
      <c r="A8" s="56"/>
      <c r="B8" s="6"/>
      <c r="C8" s="7"/>
      <c r="D8" s="8"/>
      <c r="E8" s="7"/>
      <c r="F8" s="9"/>
      <c r="G8" s="34"/>
    </row>
    <row r="9" spans="1:7" s="46" customFormat="1" ht="15" customHeight="1">
      <c r="A9" s="56"/>
      <c r="B9" s="6"/>
      <c r="C9" s="7"/>
      <c r="D9" s="8"/>
      <c r="E9" s="7"/>
      <c r="F9" s="9"/>
      <c r="G9" s="34"/>
    </row>
    <row r="10" spans="1:7" s="46" customFormat="1" ht="15" customHeight="1">
      <c r="A10" s="56"/>
      <c r="B10" s="6"/>
      <c r="C10" s="7"/>
      <c r="D10" s="8"/>
      <c r="E10" s="7"/>
      <c r="F10" s="9"/>
      <c r="G10" s="34"/>
    </row>
    <row r="11" spans="1:7" s="46" customFormat="1" ht="15" customHeight="1">
      <c r="A11" s="477"/>
      <c r="B11" s="478"/>
      <c r="C11" s="478"/>
      <c r="D11" s="479"/>
      <c r="E11" s="480" t="s">
        <v>47</v>
      </c>
      <c r="F11" s="480"/>
      <c r="G11" s="483">
        <f>SUM(G4:G10)</f>
        <v>89879.999999999985</v>
      </c>
    </row>
    <row r="12" spans="1:7" s="46" customFormat="1" ht="15" customHeight="1"/>
    <row r="13" spans="1:7" s="46" customFormat="1" ht="15" customHeight="1"/>
    <row r="14" spans="1:7" s="46" customFormat="1" ht="15" customHeight="1"/>
    <row r="15" spans="1:7" s="46" customFormat="1" ht="15" customHeight="1"/>
    <row r="16" spans="1:7" s="46" customFormat="1" ht="15" customHeight="1">
      <c r="A16" s="872" t="s">
        <v>702</v>
      </c>
      <c r="B16" s="873"/>
      <c r="C16" s="873"/>
      <c r="D16" s="873"/>
      <c r="E16" s="873"/>
      <c r="F16" s="873"/>
      <c r="G16" s="873"/>
    </row>
    <row r="17" spans="1:7" s="46" customFormat="1" ht="43.2">
      <c r="A17" s="23" t="s">
        <v>548</v>
      </c>
      <c r="B17" s="5" t="s">
        <v>294</v>
      </c>
      <c r="C17" s="5" t="s">
        <v>549</v>
      </c>
      <c r="D17" s="5" t="s">
        <v>550</v>
      </c>
      <c r="E17" s="5" t="s">
        <v>551</v>
      </c>
      <c r="F17" s="5" t="s">
        <v>552</v>
      </c>
      <c r="G17" s="24" t="s">
        <v>553</v>
      </c>
    </row>
    <row r="18" spans="1:7" s="46" customFormat="1" ht="15" customHeight="1">
      <c r="A18" s="275"/>
      <c r="B18" s="265"/>
      <c r="C18" s="265"/>
      <c r="D18" s="265"/>
      <c r="E18" s="265"/>
      <c r="F18" s="274">
        <f>'D. Resumen Costes Locales e ins'!D10</f>
        <v>0.05</v>
      </c>
      <c r="G18" s="277"/>
    </row>
    <row r="19" spans="1:7" s="46" customFormat="1">
      <c r="A19" s="67">
        <f>A4</f>
        <v>1</v>
      </c>
      <c r="B19" s="69" t="s">
        <v>703</v>
      </c>
      <c r="C19" s="11">
        <v>40000</v>
      </c>
      <c r="D19" s="8">
        <v>4</v>
      </c>
      <c r="E19" s="7">
        <f>C19/D19</f>
        <v>10000</v>
      </c>
      <c r="F19" s="7">
        <f>E19*$F$18</f>
        <v>500</v>
      </c>
      <c r="G19" s="34">
        <f>(E19+F19)*A19</f>
        <v>10500</v>
      </c>
    </row>
    <row r="20" spans="1:7" s="46" customFormat="1">
      <c r="A20" s="67">
        <f>A5</f>
        <v>0</v>
      </c>
      <c r="B20" s="69" t="s">
        <v>704</v>
      </c>
      <c r="C20" s="11">
        <v>12000</v>
      </c>
      <c r="D20" s="8">
        <v>4</v>
      </c>
      <c r="E20" s="7">
        <f>C20/D20</f>
        <v>3000</v>
      </c>
      <c r="F20" s="7">
        <f>E20*$F$18</f>
        <v>150</v>
      </c>
      <c r="G20" s="34">
        <f>(E20+F20)*A20</f>
        <v>0</v>
      </c>
    </row>
    <row r="21" spans="1:7" s="46" customFormat="1">
      <c r="A21" s="67">
        <f>A6</f>
        <v>0</v>
      </c>
      <c r="B21" s="69" t="s">
        <v>705</v>
      </c>
      <c r="C21" s="11">
        <v>6500</v>
      </c>
      <c r="D21" s="8">
        <v>4</v>
      </c>
      <c r="E21" s="7">
        <f>C21/D21</f>
        <v>1625</v>
      </c>
      <c r="F21" s="7">
        <f>E21*$F$18</f>
        <v>81.25</v>
      </c>
      <c r="G21" s="34">
        <f>(E21+F21)*A21</f>
        <v>0</v>
      </c>
    </row>
    <row r="22" spans="1:7" s="46" customFormat="1" ht="15" customHeight="1">
      <c r="A22" s="67">
        <v>1</v>
      </c>
      <c r="B22" s="69" t="s">
        <v>706</v>
      </c>
      <c r="C22" s="7">
        <v>45000</v>
      </c>
      <c r="D22" s="8">
        <v>1</v>
      </c>
      <c r="E22" s="7">
        <f>C22/D22</f>
        <v>45000</v>
      </c>
      <c r="F22" s="7">
        <f>E22*$F$18</f>
        <v>2250</v>
      </c>
      <c r="G22" s="34">
        <f>(E22+F22)*A22</f>
        <v>47250</v>
      </c>
    </row>
    <row r="23" spans="1:7" s="46" customFormat="1" ht="15" customHeight="1">
      <c r="A23" s="67">
        <v>1</v>
      </c>
      <c r="B23" s="69" t="s">
        <v>707</v>
      </c>
      <c r="C23" s="7">
        <v>5000</v>
      </c>
      <c r="D23" s="8">
        <v>1</v>
      </c>
      <c r="E23" s="7">
        <f>C23/D23</f>
        <v>5000</v>
      </c>
      <c r="F23" s="7">
        <f>E23*$F$18</f>
        <v>250</v>
      </c>
      <c r="G23" s="34">
        <f>(E23+F23)*A23</f>
        <v>5250</v>
      </c>
    </row>
    <row r="24" spans="1:7" s="46" customFormat="1" ht="15" customHeight="1">
      <c r="A24" s="56"/>
      <c r="B24" s="69"/>
      <c r="C24" s="7"/>
      <c r="D24" s="8"/>
      <c r="E24" s="7"/>
      <c r="F24" s="9"/>
      <c r="G24" s="34"/>
    </row>
    <row r="25" spans="1:7" s="46" customFormat="1" ht="15" customHeight="1">
      <c r="A25" s="477"/>
      <c r="B25" s="478"/>
      <c r="C25" s="478"/>
      <c r="D25" s="479"/>
      <c r="E25" s="480" t="s">
        <v>47</v>
      </c>
      <c r="F25" s="480"/>
      <c r="G25" s="483">
        <f>SUM(G19:G24)</f>
        <v>63000</v>
      </c>
    </row>
    <row r="26" spans="1:7" s="46" customFormat="1" ht="15" customHeight="1"/>
    <row r="27" spans="1:7" s="46" customFormat="1" ht="15" customHeight="1"/>
    <row r="28" spans="1:7" s="46" customFormat="1" ht="15" customHeight="1"/>
    <row r="29" spans="1:7" s="46" customFormat="1" ht="15" customHeight="1"/>
    <row r="30" spans="1:7" s="46" customFormat="1" ht="15" customHeight="1"/>
    <row r="31" spans="1:7" s="46" customFormat="1" ht="15" customHeight="1"/>
    <row r="32" spans="1:7" s="46" customFormat="1" ht="15" customHeight="1"/>
    <row r="33" s="46" customFormat="1" ht="15" customHeight="1"/>
    <row r="34" s="46" customFormat="1" ht="15" customHeight="1"/>
    <row r="35" s="46" customFormat="1" ht="15" customHeight="1"/>
    <row r="36" s="46" customFormat="1" ht="15" customHeight="1"/>
    <row r="37" s="46" customFormat="1" ht="15" customHeight="1"/>
    <row r="38" s="46" customFormat="1" ht="15" customHeight="1"/>
    <row r="39" s="46" customFormat="1" ht="15" customHeight="1"/>
    <row r="40" s="46" customFormat="1" ht="15" customHeight="1"/>
    <row r="41" s="46" customFormat="1" ht="15" customHeight="1"/>
    <row r="42" s="46" customFormat="1" ht="15" customHeight="1"/>
    <row r="43" s="46" customFormat="1" ht="15" customHeight="1"/>
    <row r="44" s="46" customFormat="1" ht="15" customHeight="1"/>
    <row r="45" s="46" customFormat="1" ht="15" customHeight="1"/>
    <row r="46" s="46" customFormat="1" ht="15" customHeight="1"/>
    <row r="47" s="46" customFormat="1" ht="15" customHeight="1"/>
    <row r="48" s="46" customFormat="1" ht="15" customHeight="1"/>
    <row r="49" s="46" customFormat="1" ht="15" customHeight="1"/>
    <row r="50" s="46" customFormat="1" ht="15" customHeight="1"/>
    <row r="51" s="46" customFormat="1" ht="15" customHeight="1"/>
    <row r="52" s="46" customFormat="1" ht="15" customHeight="1"/>
    <row r="53" s="46" customFormat="1" ht="15" customHeight="1"/>
    <row r="54" s="46" customFormat="1" ht="15" customHeight="1"/>
    <row r="55" s="46" customFormat="1" ht="15" customHeight="1"/>
    <row r="56" s="46" customFormat="1" ht="15" customHeight="1"/>
    <row r="57" s="46" customFormat="1" ht="15" customHeight="1"/>
    <row r="58" s="46" customFormat="1" ht="15" customHeight="1"/>
    <row r="59" s="46" customFormat="1" ht="15" customHeight="1"/>
    <row r="60" s="46" customFormat="1" ht="15" customHeight="1"/>
    <row r="61" s="46" customFormat="1" ht="15" customHeight="1"/>
    <row r="62" s="46" customFormat="1" ht="15" customHeight="1"/>
    <row r="63" s="46" customFormat="1" ht="15" customHeight="1"/>
    <row r="64" s="46" customFormat="1" ht="15" customHeight="1"/>
    <row r="65" s="46" customFormat="1" ht="15" customHeight="1"/>
    <row r="66" s="46" customFormat="1" ht="15" customHeight="1"/>
    <row r="67" s="46" customFormat="1" ht="15" customHeight="1"/>
    <row r="68" s="46" customFormat="1" ht="15" customHeight="1"/>
    <row r="69" s="46" customFormat="1" ht="15" customHeight="1"/>
    <row r="70" s="46" customFormat="1" ht="15" customHeight="1"/>
    <row r="71" s="46" customFormat="1" ht="15" customHeight="1"/>
    <row r="72" s="46" customFormat="1" ht="15" customHeight="1"/>
    <row r="73" s="46" customFormat="1" ht="15" customHeight="1"/>
    <row r="74" s="46" customFormat="1" ht="15" customHeight="1"/>
    <row r="75" s="46" customFormat="1" ht="15" customHeight="1"/>
    <row r="76" s="46" customFormat="1" ht="15" customHeight="1"/>
    <row r="77" s="46" customFormat="1" ht="15" customHeight="1"/>
    <row r="78" s="46" customFormat="1" ht="15" customHeight="1"/>
    <row r="79" s="46" customFormat="1" ht="15" customHeight="1"/>
    <row r="80" s="46" customFormat="1" ht="15" customHeight="1"/>
    <row r="81" s="46" customFormat="1" ht="15" customHeight="1"/>
    <row r="82" s="46" customFormat="1" ht="15" customHeight="1"/>
    <row r="83" s="46" customFormat="1" ht="15" customHeight="1"/>
    <row r="84" s="46" customFormat="1" ht="15" customHeight="1"/>
    <row r="85" s="46" customFormat="1" ht="15" customHeight="1"/>
    <row r="86" s="46" customFormat="1" ht="15" customHeight="1"/>
    <row r="87" s="46" customFormat="1" ht="15" customHeight="1"/>
    <row r="88" s="46" customFormat="1" ht="15" customHeight="1"/>
    <row r="89" s="46" customFormat="1" ht="15" customHeight="1"/>
    <row r="90" s="46" customFormat="1" ht="15" customHeight="1"/>
    <row r="91" s="46" customFormat="1" ht="15" customHeight="1"/>
    <row r="92" s="46" customFormat="1" ht="15" customHeight="1"/>
    <row r="93" s="46" customFormat="1" ht="15" customHeight="1"/>
    <row r="94" s="46" customFormat="1" ht="15" customHeight="1"/>
    <row r="95" s="46" customFormat="1" ht="15" customHeight="1"/>
    <row r="96" s="46" customFormat="1" ht="15" customHeight="1"/>
    <row r="97" s="46" customFormat="1" ht="15" customHeight="1"/>
    <row r="98" s="46" customFormat="1" ht="15" customHeight="1"/>
    <row r="99" s="46" customFormat="1" ht="15" customHeight="1"/>
    <row r="100" s="46" customFormat="1" ht="15" customHeight="1"/>
    <row r="101" s="46" customFormat="1" ht="15" customHeight="1"/>
    <row r="102" s="46" customFormat="1" ht="15" customHeight="1"/>
    <row r="103" s="46" customFormat="1" ht="15" customHeight="1"/>
    <row r="104" s="46" customFormat="1" ht="15" customHeight="1"/>
    <row r="105" s="46" customFormat="1" ht="15" customHeight="1"/>
    <row r="106" s="46" customFormat="1" ht="15" customHeight="1"/>
    <row r="107" s="46" customFormat="1" ht="15" customHeight="1"/>
    <row r="108" s="46" customFormat="1" ht="15" customHeight="1"/>
    <row r="109" s="46" customFormat="1" ht="15" customHeight="1"/>
    <row r="110" s="46" customFormat="1" ht="15" customHeight="1"/>
    <row r="111" s="46" customFormat="1" ht="15" customHeight="1"/>
    <row r="112" s="46" customFormat="1" ht="15" customHeight="1"/>
    <row r="113" s="46" customFormat="1" ht="15" customHeight="1"/>
    <row r="114" s="46" customFormat="1" ht="15" customHeight="1"/>
    <row r="115" s="46" customFormat="1" ht="15" customHeight="1"/>
    <row r="116" s="46" customFormat="1" ht="15" customHeight="1"/>
    <row r="117" s="46" customFormat="1" ht="15" customHeight="1"/>
    <row r="118" s="46" customFormat="1" ht="15" customHeight="1"/>
    <row r="119" s="46" customFormat="1" ht="15" customHeight="1"/>
    <row r="120" s="46" customFormat="1" ht="15" customHeight="1"/>
    <row r="121" s="46" customFormat="1" ht="15" customHeight="1"/>
    <row r="122" s="46" customFormat="1" ht="15" customHeight="1"/>
    <row r="123" s="46" customFormat="1" ht="15" customHeight="1"/>
    <row r="124" s="46" customFormat="1" ht="15" customHeight="1"/>
    <row r="125" s="46" customFormat="1" ht="15" customHeight="1"/>
    <row r="126" s="46" customFormat="1" ht="15" customHeight="1"/>
    <row r="127" s="46" customFormat="1" ht="15" customHeight="1"/>
    <row r="128" s="46" customFormat="1" ht="15" customHeight="1"/>
    <row r="129" s="46" customFormat="1" ht="15" customHeight="1"/>
    <row r="130" s="46" customFormat="1" ht="15" customHeight="1"/>
    <row r="131" s="46" customFormat="1" ht="15" customHeight="1"/>
    <row r="132" s="46" customFormat="1" ht="15" customHeight="1"/>
    <row r="133" s="46" customFormat="1" ht="15" customHeight="1"/>
    <row r="134" s="46" customFormat="1" ht="15" customHeight="1"/>
    <row r="135" s="46" customFormat="1" ht="15" customHeight="1"/>
    <row r="136" s="46" customFormat="1" ht="15" customHeight="1"/>
    <row r="137" s="46" customFormat="1" ht="15" customHeight="1"/>
    <row r="138" s="46" customFormat="1" ht="15" customHeight="1"/>
    <row r="139" s="46" customFormat="1" ht="15" customHeight="1"/>
    <row r="140" s="46" customFormat="1" ht="15" customHeight="1"/>
    <row r="141" s="46" customFormat="1" ht="15" customHeight="1"/>
    <row r="142" s="46" customFormat="1" ht="15" customHeight="1"/>
    <row r="143" s="46" customFormat="1" ht="15" customHeight="1"/>
    <row r="144" s="46" customFormat="1" ht="15" customHeight="1"/>
    <row r="145" s="46" customFormat="1" ht="15" customHeight="1"/>
    <row r="146" s="46" customFormat="1" ht="15" customHeight="1"/>
    <row r="147" s="46" customFormat="1" ht="15" customHeight="1"/>
    <row r="148" s="46" customFormat="1" ht="15" customHeight="1"/>
    <row r="149" s="46" customFormat="1" ht="15" customHeight="1"/>
    <row r="150" s="46" customFormat="1" ht="15" customHeight="1"/>
    <row r="151" s="46" customFormat="1" ht="15" customHeight="1"/>
    <row r="152" s="46" customFormat="1" ht="15" customHeight="1"/>
    <row r="153" s="46" customFormat="1" ht="15" customHeight="1"/>
    <row r="154" s="46" customFormat="1" ht="15" customHeight="1"/>
    <row r="155" s="46" customFormat="1" ht="15" customHeight="1"/>
    <row r="156" s="46" customFormat="1" ht="15" customHeight="1"/>
    <row r="157" s="46" customFormat="1" ht="15" customHeight="1"/>
    <row r="158" s="46" customFormat="1" ht="15" customHeight="1"/>
    <row r="159" s="46" customFormat="1" ht="15" customHeight="1"/>
    <row r="160" s="46" customFormat="1" ht="15" customHeight="1"/>
    <row r="161" s="46" customFormat="1" ht="15" customHeight="1"/>
    <row r="162" s="46" customFormat="1" ht="15" customHeight="1"/>
    <row r="163" s="46" customFormat="1" ht="15" customHeight="1"/>
    <row r="164" s="46" customFormat="1" ht="15" customHeight="1"/>
    <row r="165" s="46" customFormat="1" ht="15" customHeight="1"/>
    <row r="166" s="46" customFormat="1" ht="15" customHeight="1"/>
    <row r="167" s="46" customFormat="1" ht="15" customHeight="1"/>
    <row r="168" s="46" customFormat="1" ht="15" customHeight="1"/>
    <row r="169" s="46" customFormat="1" ht="15" customHeight="1"/>
    <row r="170" s="46" customFormat="1" ht="15" customHeight="1"/>
    <row r="171" s="46" customFormat="1" ht="15" customHeight="1"/>
    <row r="172" s="46" customFormat="1" ht="15" customHeight="1"/>
    <row r="173" s="46" customFormat="1" ht="15" customHeight="1"/>
    <row r="174" s="46" customFormat="1" ht="15" customHeight="1"/>
    <row r="175" s="46" customFormat="1" ht="15" customHeight="1"/>
    <row r="176" s="46" customFormat="1" ht="15" customHeight="1"/>
    <row r="177" s="46" customFormat="1" ht="15" customHeight="1"/>
    <row r="178" s="46" customFormat="1" ht="15" customHeight="1"/>
    <row r="179" s="46" customFormat="1" ht="15" customHeight="1"/>
    <row r="180" s="46" customFormat="1" ht="15" customHeight="1"/>
    <row r="181" s="46" customFormat="1" ht="15" customHeight="1"/>
    <row r="182" s="46" customFormat="1" ht="15" customHeight="1"/>
    <row r="183" s="46" customFormat="1" ht="15" customHeight="1"/>
    <row r="184" s="46" customFormat="1" ht="15" customHeight="1"/>
    <row r="185" s="46" customFormat="1" ht="15" customHeight="1"/>
    <row r="186" s="46" customFormat="1" ht="15" customHeight="1"/>
    <row r="187" s="46" customFormat="1" ht="15" customHeight="1"/>
    <row r="188" s="46" customFormat="1" ht="15" customHeight="1"/>
    <row r="189" s="46" customFormat="1" ht="15" customHeight="1"/>
    <row r="190" s="46" customFormat="1" ht="15" customHeight="1"/>
    <row r="191" s="46" customFormat="1" ht="15" customHeight="1"/>
    <row r="192" s="46" customFormat="1" ht="15" customHeight="1"/>
    <row r="193" s="46" customFormat="1" ht="15" customHeight="1"/>
    <row r="194" s="46" customFormat="1" ht="15" customHeight="1"/>
    <row r="195" s="46" customFormat="1" ht="15" customHeight="1"/>
    <row r="196" s="46" customFormat="1" ht="15" customHeight="1"/>
    <row r="197" s="46" customFormat="1" ht="15" customHeight="1"/>
    <row r="198" s="46" customFormat="1" ht="15" customHeight="1"/>
    <row r="199" s="46" customFormat="1" ht="15" customHeight="1"/>
    <row r="200" s="46" customFormat="1" ht="15" customHeight="1"/>
    <row r="201" s="46" customFormat="1" ht="15" customHeight="1"/>
    <row r="202" s="46" customFormat="1" ht="15" customHeight="1"/>
    <row r="203" s="46" customFormat="1" ht="15" customHeight="1"/>
    <row r="204" s="46" customFormat="1" ht="15" customHeight="1"/>
    <row r="205" s="46" customFormat="1" ht="15" customHeight="1"/>
    <row r="206" s="46" customFormat="1" ht="15" customHeight="1"/>
    <row r="207" s="46" customFormat="1" ht="15" customHeight="1"/>
    <row r="208" s="46" customFormat="1" ht="15" customHeight="1"/>
    <row r="209" s="46" customFormat="1" ht="15" customHeight="1"/>
    <row r="210" s="46" customFormat="1" ht="15" customHeight="1"/>
    <row r="211" s="46" customFormat="1" ht="15" customHeight="1"/>
    <row r="212" s="46" customFormat="1" ht="15" customHeight="1"/>
    <row r="213" s="46" customFormat="1" ht="15" customHeight="1"/>
    <row r="214" s="46" customFormat="1" ht="15" customHeight="1"/>
    <row r="215" s="46" customFormat="1" ht="15" customHeight="1"/>
    <row r="216" s="46" customFormat="1" ht="15" customHeight="1"/>
    <row r="217" s="46" customFormat="1" ht="15" customHeight="1"/>
    <row r="218" s="46" customFormat="1" ht="15" customHeight="1"/>
    <row r="219" s="46" customFormat="1" ht="15" customHeight="1"/>
    <row r="220" s="46" customFormat="1" ht="15" customHeight="1"/>
    <row r="221" s="46" customFormat="1" ht="15" customHeight="1"/>
    <row r="222" s="46" customFormat="1" ht="15" customHeight="1"/>
    <row r="223" s="46" customFormat="1" ht="15" customHeight="1"/>
    <row r="224" s="46" customFormat="1" ht="15" customHeight="1"/>
    <row r="225" s="46" customFormat="1" ht="15" customHeight="1"/>
    <row r="226" s="46" customFormat="1" ht="15" customHeight="1"/>
    <row r="227" s="46" customFormat="1" ht="15" customHeight="1"/>
    <row r="228" s="46" customFormat="1" ht="15" customHeight="1"/>
    <row r="229" s="46" customFormat="1" ht="15" customHeight="1"/>
    <row r="230" s="46" customFormat="1" ht="15" customHeight="1"/>
    <row r="231" s="46" customFormat="1" ht="15" customHeight="1"/>
    <row r="232" s="46" customFormat="1" ht="15" customHeight="1"/>
    <row r="233" s="46" customFormat="1" ht="15" customHeight="1"/>
    <row r="234" s="46" customFormat="1" ht="15" customHeight="1"/>
    <row r="235" s="46" customFormat="1" ht="15" customHeight="1"/>
    <row r="236" s="46" customFormat="1" ht="15" customHeight="1"/>
    <row r="237" s="46" customFormat="1" ht="15" customHeight="1"/>
    <row r="238" s="46" customFormat="1" ht="15" customHeight="1"/>
    <row r="239" s="46" customFormat="1" ht="15" customHeight="1"/>
    <row r="240" s="46" customFormat="1" ht="15" customHeight="1"/>
    <row r="241" s="46" customFormat="1" ht="15" customHeight="1"/>
    <row r="242" s="46" customFormat="1" ht="15" customHeight="1"/>
    <row r="243" s="46" customFormat="1" ht="15" customHeight="1"/>
    <row r="244" s="46" customFormat="1" ht="15" customHeight="1"/>
    <row r="245" s="46" customFormat="1" ht="15" customHeight="1"/>
    <row r="246" s="46" customFormat="1" ht="15" customHeight="1"/>
    <row r="247" s="46" customFormat="1" ht="15" customHeight="1"/>
    <row r="248" s="46" customFormat="1" ht="15" customHeight="1"/>
    <row r="249" s="46" customFormat="1" ht="15" customHeight="1"/>
    <row r="250" s="46" customFormat="1" ht="15" customHeight="1"/>
    <row r="251" s="46" customFormat="1" ht="15" customHeight="1"/>
    <row r="252" s="46" customFormat="1" ht="15" customHeight="1"/>
    <row r="253" s="46" customFormat="1" ht="15" customHeight="1"/>
    <row r="254" s="46" customFormat="1" ht="15" customHeight="1"/>
    <row r="255" s="46" customFormat="1" ht="15" customHeight="1"/>
    <row r="256" s="46" customFormat="1" ht="15" customHeight="1"/>
    <row r="257" s="46" customFormat="1" ht="15" customHeight="1"/>
    <row r="258" s="46" customFormat="1" ht="15" customHeight="1"/>
    <row r="259" s="46" customFormat="1" ht="15" customHeight="1"/>
    <row r="260" s="46" customFormat="1" ht="15" customHeight="1"/>
    <row r="261" s="46" customFormat="1" ht="15" customHeight="1"/>
    <row r="262" s="46" customFormat="1" ht="15" customHeight="1"/>
    <row r="263" s="46" customFormat="1" ht="15" customHeight="1"/>
    <row r="264" s="46" customFormat="1" ht="15" customHeight="1"/>
    <row r="265" s="46" customFormat="1" ht="15" customHeight="1"/>
    <row r="266" s="46" customFormat="1" ht="15" customHeight="1"/>
    <row r="267" s="46" customFormat="1" ht="15" customHeight="1"/>
    <row r="268" s="46" customFormat="1" ht="15" customHeight="1"/>
    <row r="269" s="46" customFormat="1" ht="15" customHeight="1"/>
    <row r="270" s="46" customFormat="1" ht="15" customHeight="1"/>
    <row r="271" s="46" customFormat="1" ht="15" customHeight="1"/>
    <row r="272" s="46" customFormat="1" ht="15" customHeight="1"/>
    <row r="273" s="46" customFormat="1" ht="15" customHeight="1"/>
    <row r="274" s="46" customFormat="1" ht="15" customHeight="1"/>
    <row r="275" s="46" customFormat="1" ht="15" customHeight="1"/>
    <row r="276" s="46" customFormat="1" ht="15" customHeight="1"/>
    <row r="277" s="46" customFormat="1" ht="15" customHeight="1"/>
    <row r="278" s="46" customFormat="1" ht="15" customHeight="1"/>
    <row r="279" s="46" customFormat="1" ht="15" customHeight="1"/>
    <row r="280" s="46" customFormat="1" ht="15" customHeight="1"/>
    <row r="281" s="46" customFormat="1" ht="15" customHeight="1"/>
    <row r="282" s="46" customFormat="1" ht="15" customHeight="1"/>
    <row r="283" s="46" customFormat="1" ht="15" customHeight="1"/>
    <row r="284" s="46" customFormat="1" ht="15" customHeight="1"/>
    <row r="285" s="46" customFormat="1" ht="15" customHeight="1"/>
    <row r="286" s="46" customFormat="1" ht="15" customHeight="1"/>
    <row r="287" s="46" customFormat="1" ht="15" customHeight="1"/>
    <row r="288" s="46" customFormat="1" ht="15" customHeight="1"/>
    <row r="289" s="46" customFormat="1" ht="15" customHeight="1"/>
    <row r="290" s="46" customFormat="1" ht="15" customHeight="1"/>
    <row r="291" s="46" customFormat="1" ht="15" customHeight="1"/>
    <row r="292" s="46" customFormat="1" ht="15" customHeight="1"/>
    <row r="293" s="46" customFormat="1" ht="15" customHeight="1"/>
    <row r="294" s="46" customFormat="1" ht="15" customHeight="1"/>
    <row r="295" s="46" customFormat="1" ht="15" customHeight="1"/>
    <row r="296" s="46" customFormat="1" ht="15" customHeight="1"/>
    <row r="297" s="46" customFormat="1" ht="15" customHeight="1"/>
    <row r="298" s="46" customFormat="1" ht="15" customHeight="1"/>
    <row r="299" s="46" customFormat="1" ht="15" customHeight="1"/>
    <row r="300" s="46" customFormat="1" ht="15" customHeight="1"/>
    <row r="301" s="46" customFormat="1" ht="15" customHeight="1"/>
    <row r="302" s="46" customFormat="1" ht="15" customHeight="1"/>
    <row r="303" s="46" customFormat="1" ht="15" customHeight="1"/>
    <row r="304" s="46" customFormat="1" ht="15" customHeight="1"/>
    <row r="305" s="46" customFormat="1" ht="15" customHeight="1"/>
    <row r="306" s="46" customFormat="1" ht="15" customHeight="1"/>
    <row r="307" s="46" customFormat="1" ht="15" customHeight="1"/>
    <row r="308" s="46" customFormat="1" ht="15" customHeight="1"/>
    <row r="309" s="46" customFormat="1" ht="15" customHeight="1"/>
    <row r="310" s="46" customFormat="1" ht="15" customHeight="1"/>
    <row r="311" s="46" customFormat="1" ht="15" customHeight="1"/>
    <row r="312" s="46" customFormat="1" ht="15" customHeight="1"/>
    <row r="313" s="46" customFormat="1" ht="15" customHeight="1"/>
    <row r="314" s="46" customFormat="1" ht="15" customHeight="1"/>
    <row r="315" s="46" customFormat="1" ht="15" customHeight="1"/>
    <row r="316" s="46" customFormat="1" ht="15" customHeight="1"/>
    <row r="317" s="46" customFormat="1" ht="15" customHeight="1"/>
    <row r="318" s="46" customFormat="1" ht="15" customHeight="1"/>
    <row r="319" s="46" customFormat="1" ht="15" customHeight="1"/>
    <row r="320" s="46" customFormat="1" ht="15" customHeight="1"/>
    <row r="321" s="46" customFormat="1" ht="15" customHeight="1"/>
    <row r="322" s="46" customFormat="1" ht="15" customHeight="1"/>
    <row r="323" s="46" customFormat="1" ht="15" customHeight="1"/>
    <row r="324" s="46" customFormat="1" ht="15" customHeight="1"/>
    <row r="325" s="46" customFormat="1" ht="15" customHeight="1"/>
    <row r="326" s="46" customFormat="1" ht="15" customHeight="1"/>
    <row r="327" s="46" customFormat="1" ht="15" customHeight="1"/>
    <row r="328" s="46" customFormat="1" ht="15" customHeight="1"/>
    <row r="329" s="46" customFormat="1" ht="15" customHeight="1"/>
    <row r="330" s="46" customFormat="1" ht="15" customHeight="1"/>
    <row r="331" s="46" customFormat="1" ht="15" customHeight="1"/>
    <row r="332" s="46" customFormat="1" ht="15" customHeight="1"/>
    <row r="333" s="46" customFormat="1" ht="15" customHeight="1"/>
    <row r="334" s="46" customFormat="1" ht="15" customHeight="1"/>
    <row r="335" s="46" customFormat="1" ht="15" customHeight="1"/>
    <row r="336" s="46" customFormat="1" ht="15" customHeight="1"/>
    <row r="337" s="46" customFormat="1" ht="15" customHeight="1"/>
    <row r="338" s="46" customFormat="1" ht="15" customHeight="1"/>
    <row r="339" s="46" customFormat="1" ht="15" customHeight="1"/>
    <row r="340" s="46" customFormat="1" ht="15" customHeight="1"/>
    <row r="341" s="46" customFormat="1" ht="15" customHeight="1"/>
    <row r="342" s="46" customFormat="1" ht="15" customHeight="1"/>
    <row r="343" s="46" customFormat="1" ht="15" customHeight="1"/>
    <row r="344" s="46" customFormat="1" ht="15" customHeight="1"/>
    <row r="345" s="46" customFormat="1" ht="15" customHeight="1"/>
    <row r="346" s="46" customFormat="1" ht="15" customHeight="1"/>
    <row r="347" s="46" customFormat="1" ht="15" customHeight="1"/>
    <row r="348" s="46" customFormat="1" ht="15" customHeight="1"/>
    <row r="349" s="46" customFormat="1" ht="15" customHeight="1"/>
    <row r="350" s="46" customFormat="1" ht="15" customHeight="1"/>
    <row r="351" s="46" customFormat="1" ht="15" customHeight="1"/>
    <row r="352" s="46" customFormat="1" ht="15" customHeight="1"/>
    <row r="353" s="46" customFormat="1" ht="15" customHeight="1"/>
    <row r="354" s="46" customFormat="1" ht="15" customHeight="1"/>
    <row r="355" s="46" customFormat="1" ht="15" customHeight="1"/>
    <row r="356" s="46" customFormat="1" ht="15" customHeight="1"/>
    <row r="357" s="46" customFormat="1" ht="15" customHeight="1"/>
    <row r="358" s="46" customFormat="1" ht="15" customHeight="1"/>
    <row r="359" s="46" customFormat="1" ht="15" customHeight="1"/>
    <row r="360" s="46" customFormat="1" ht="15" customHeight="1"/>
    <row r="361" s="46" customFormat="1" ht="15" customHeight="1"/>
    <row r="362" s="46" customFormat="1" ht="15" customHeight="1"/>
    <row r="363" s="46" customFormat="1" ht="15" customHeight="1"/>
    <row r="364" s="46" customFormat="1" ht="15" customHeight="1"/>
    <row r="365" s="46" customFormat="1" ht="15" customHeight="1"/>
    <row r="366" s="46" customFormat="1" ht="15" customHeight="1"/>
    <row r="367" s="46" customFormat="1" ht="15" customHeight="1"/>
    <row r="368" s="46" customFormat="1" ht="15" customHeight="1"/>
    <row r="369" s="46" customFormat="1" ht="15" customHeight="1"/>
    <row r="370" s="46" customFormat="1" ht="15" customHeight="1"/>
    <row r="371" s="46" customFormat="1" ht="15" customHeight="1"/>
    <row r="372" s="46" customFormat="1" ht="15" customHeight="1"/>
    <row r="373" s="46" customFormat="1" ht="15" customHeight="1"/>
    <row r="374" s="46" customFormat="1" ht="15" customHeight="1"/>
    <row r="375" s="46" customFormat="1" ht="15" customHeight="1"/>
    <row r="376" s="46" customFormat="1" ht="15" customHeight="1"/>
    <row r="377" s="46" customFormat="1" ht="15" customHeight="1"/>
    <row r="378" s="46" customFormat="1" ht="15" customHeight="1"/>
    <row r="379" s="46" customFormat="1" ht="15" customHeight="1"/>
    <row r="380" s="46" customFormat="1" ht="15" customHeight="1"/>
    <row r="381" s="46" customFormat="1" ht="15" customHeight="1"/>
    <row r="382" s="46" customFormat="1" ht="15" customHeight="1"/>
    <row r="383" s="46" customFormat="1" ht="15" customHeight="1"/>
    <row r="384" s="46" customFormat="1" ht="15" customHeight="1"/>
    <row r="385" s="46" customFormat="1" ht="15" customHeight="1"/>
    <row r="386" s="46" customFormat="1" ht="15" customHeight="1"/>
    <row r="387" s="46" customFormat="1" ht="15" customHeight="1"/>
    <row r="388" s="46" customFormat="1" ht="15" customHeight="1"/>
    <row r="389" s="46" customFormat="1" ht="15" customHeight="1"/>
    <row r="390" s="46" customFormat="1" ht="15" customHeight="1"/>
    <row r="391" s="46" customFormat="1" ht="15" customHeight="1"/>
    <row r="392" s="46" customFormat="1" ht="15" customHeight="1"/>
    <row r="393" s="46" customFormat="1" ht="15" customHeight="1"/>
    <row r="394" s="46" customFormat="1" ht="15" customHeight="1"/>
    <row r="395" s="46" customFormat="1" ht="15" customHeight="1"/>
    <row r="396" s="46" customFormat="1" ht="15" customHeight="1"/>
    <row r="397" s="46" customFormat="1" ht="15" customHeight="1"/>
    <row r="398" s="46" customFormat="1" ht="15" customHeight="1"/>
    <row r="399" s="46" customFormat="1" ht="15" customHeight="1"/>
    <row r="400" s="46" customFormat="1" ht="15" customHeight="1"/>
    <row r="401" s="46" customFormat="1" ht="15" customHeight="1"/>
    <row r="402" s="46" customFormat="1" ht="15" customHeight="1"/>
    <row r="403" s="46" customFormat="1" ht="15" customHeight="1"/>
    <row r="404" s="46" customFormat="1" ht="15" customHeight="1"/>
    <row r="405" s="46" customFormat="1" ht="15" customHeight="1"/>
    <row r="406" s="46" customFormat="1" ht="15" customHeight="1"/>
    <row r="407" s="46" customFormat="1" ht="15" customHeight="1"/>
    <row r="408" s="46" customFormat="1" ht="15" customHeight="1"/>
    <row r="409" s="46" customFormat="1" ht="15" customHeight="1"/>
    <row r="410" s="46" customFormat="1" ht="15" customHeight="1"/>
    <row r="411" s="46" customFormat="1" ht="15" customHeight="1"/>
    <row r="412" s="46" customFormat="1" ht="15" customHeight="1"/>
    <row r="413" s="46" customFormat="1" ht="15" customHeight="1"/>
    <row r="414" s="46" customFormat="1" ht="15" customHeight="1"/>
    <row r="415" s="46" customFormat="1" ht="15" customHeight="1"/>
    <row r="416" s="46" customFormat="1" ht="15" customHeight="1"/>
    <row r="417" s="46" customFormat="1" ht="15" customHeight="1"/>
    <row r="418" s="46" customFormat="1" ht="15" customHeight="1"/>
    <row r="419" s="46" customFormat="1" ht="15" customHeight="1"/>
    <row r="420" s="46" customFormat="1" ht="15" customHeight="1"/>
    <row r="421" s="46" customFormat="1" ht="15" customHeight="1"/>
    <row r="422" s="46" customFormat="1" ht="15" customHeight="1"/>
    <row r="423" s="46" customFormat="1" ht="15" customHeight="1"/>
    <row r="424" s="46" customFormat="1" ht="15" customHeight="1"/>
    <row r="425" s="46" customFormat="1" ht="15" customHeight="1"/>
    <row r="426" s="46" customFormat="1" ht="15" customHeight="1"/>
    <row r="427" s="46" customFormat="1" ht="15" customHeight="1"/>
    <row r="428" s="46" customFormat="1" ht="15" customHeight="1"/>
    <row r="429" s="46" customFormat="1" ht="15" customHeight="1"/>
    <row r="430" s="46" customFormat="1" ht="15" customHeight="1"/>
    <row r="431" s="46" customFormat="1" ht="15" customHeight="1"/>
    <row r="432" s="46" customFormat="1" ht="15" customHeight="1"/>
    <row r="433" s="46" customFormat="1" ht="15" customHeight="1"/>
    <row r="434" s="46" customFormat="1" ht="15" customHeight="1"/>
    <row r="435" s="46" customFormat="1" ht="15" customHeight="1"/>
    <row r="436" s="46" customFormat="1" ht="15" customHeight="1"/>
    <row r="437" s="46" customFormat="1" ht="15" customHeight="1"/>
    <row r="438" s="46" customFormat="1" ht="15" customHeight="1"/>
    <row r="439" s="46" customFormat="1" ht="15" customHeight="1"/>
    <row r="440" s="46" customFormat="1" ht="15" customHeight="1"/>
    <row r="441" s="46" customFormat="1" ht="15" customHeight="1"/>
    <row r="442" s="46" customFormat="1" ht="15" customHeight="1"/>
    <row r="443" s="46" customFormat="1" ht="15" customHeight="1"/>
    <row r="444" s="46" customFormat="1" ht="15" customHeight="1"/>
    <row r="445" s="46" customFormat="1" ht="15" customHeight="1"/>
    <row r="446" s="46" customFormat="1" ht="15" customHeight="1"/>
    <row r="447" s="46" customFormat="1" ht="15" customHeight="1"/>
    <row r="448" s="46" customFormat="1" ht="15" customHeight="1"/>
    <row r="449" s="46" customFormat="1" ht="15" customHeight="1"/>
    <row r="450" s="46" customFormat="1" ht="15" customHeight="1"/>
    <row r="451" s="46" customFormat="1" ht="15" customHeight="1"/>
    <row r="452" s="46" customFormat="1" ht="15" customHeight="1"/>
    <row r="453" s="46" customFormat="1" ht="15" customHeight="1"/>
    <row r="454" s="46" customFormat="1" ht="15" customHeight="1"/>
    <row r="455" s="46" customFormat="1" ht="15" customHeight="1"/>
    <row r="456" s="46" customFormat="1" ht="15" customHeight="1"/>
    <row r="457" s="46" customFormat="1" ht="15" customHeight="1"/>
    <row r="458" s="46" customFormat="1" ht="15" customHeight="1"/>
    <row r="459" s="46" customFormat="1" ht="15" customHeight="1"/>
    <row r="460" s="46" customFormat="1" ht="15" customHeight="1"/>
    <row r="461" s="46" customFormat="1" ht="15" customHeight="1"/>
    <row r="462" s="46" customFormat="1" ht="15" customHeight="1"/>
    <row r="463" s="46" customFormat="1" ht="15" customHeight="1"/>
    <row r="464" s="46" customFormat="1" ht="15" customHeight="1"/>
    <row r="465" s="46" customFormat="1" ht="15" customHeight="1"/>
    <row r="466" s="46" customFormat="1" ht="15" customHeight="1"/>
    <row r="467" s="46" customFormat="1" ht="15" customHeight="1"/>
    <row r="468" s="46" customFormat="1" ht="15" customHeight="1"/>
    <row r="469" s="46" customFormat="1" ht="15" customHeight="1"/>
    <row r="470" s="46" customFormat="1" ht="15" customHeight="1"/>
    <row r="471" s="46" customFormat="1" ht="15" customHeight="1"/>
    <row r="472" s="46" customFormat="1" ht="15" customHeight="1"/>
    <row r="473" s="46" customFormat="1" ht="15" customHeight="1"/>
    <row r="474" s="46" customFormat="1" ht="15" customHeight="1"/>
    <row r="475" s="46" customFormat="1" ht="15" customHeight="1"/>
    <row r="476" s="46" customFormat="1" ht="15" customHeight="1"/>
    <row r="477" s="46" customFormat="1" ht="15" customHeight="1"/>
    <row r="478" s="46" customFormat="1" ht="15" customHeight="1"/>
    <row r="479" s="46" customFormat="1" ht="15" customHeight="1"/>
    <row r="480" s="46" customFormat="1" ht="15" customHeight="1"/>
    <row r="481" s="46" customFormat="1" ht="15" customHeight="1"/>
    <row r="482" s="46" customFormat="1" ht="15" customHeight="1"/>
    <row r="483" s="46" customFormat="1" ht="15" customHeight="1"/>
    <row r="484" s="46" customFormat="1" ht="15" customHeight="1"/>
    <row r="485" s="46" customFormat="1" ht="15" customHeight="1"/>
    <row r="486" s="46" customFormat="1" ht="15" customHeight="1"/>
    <row r="487" s="46" customFormat="1" ht="15" customHeight="1"/>
    <row r="488" s="46" customFormat="1" ht="15" customHeight="1"/>
    <row r="489" s="46" customFormat="1" ht="15" customHeight="1"/>
    <row r="490" s="46" customFormat="1" ht="15" customHeight="1"/>
    <row r="491" s="46" customFormat="1" ht="15" customHeight="1"/>
    <row r="492" s="46" customFormat="1" ht="15" customHeight="1"/>
    <row r="493" s="46" customFormat="1" ht="15" customHeight="1"/>
    <row r="494" s="46" customFormat="1" ht="15" customHeight="1"/>
    <row r="495" s="46" customFormat="1" ht="15" customHeight="1"/>
    <row r="496" s="46" customFormat="1" ht="15" customHeight="1"/>
    <row r="497" s="46" customFormat="1" ht="15" customHeight="1"/>
    <row r="498" s="46" customFormat="1" ht="15" customHeight="1"/>
    <row r="499" s="46" customFormat="1" ht="15" customHeight="1"/>
    <row r="500" s="46" customFormat="1" ht="15" customHeight="1"/>
    <row r="501" s="46" customFormat="1" ht="15" customHeight="1"/>
    <row r="502" s="46" customFormat="1" ht="15" customHeight="1"/>
    <row r="503" s="46" customFormat="1" ht="15" customHeight="1"/>
    <row r="504" s="46" customFormat="1" ht="15" customHeight="1"/>
    <row r="505" s="46" customFormat="1" ht="15" customHeight="1"/>
    <row r="506" s="46" customFormat="1" ht="15" customHeight="1"/>
    <row r="507" s="46" customFormat="1" ht="15" customHeight="1"/>
    <row r="508" s="46" customFormat="1" ht="15" customHeight="1"/>
    <row r="509" s="46" customFormat="1" ht="15" customHeight="1"/>
    <row r="510" s="46" customFormat="1" ht="15" customHeight="1"/>
    <row r="511" s="46" customFormat="1" ht="15" customHeight="1"/>
    <row r="512" s="46" customFormat="1" ht="15" customHeight="1"/>
    <row r="513" s="46" customFormat="1" ht="15" customHeight="1"/>
    <row r="514" s="46" customFormat="1" ht="15" customHeight="1"/>
    <row r="515" s="46" customFormat="1" ht="15" customHeight="1"/>
    <row r="516" s="46" customFormat="1" ht="15" customHeight="1"/>
  </sheetData>
  <mergeCells count="2">
    <mergeCell ref="A1:G1"/>
    <mergeCell ref="A16:G16"/>
  </mergeCells>
  <pageMargins left="0.511811023622047" right="0.511811023622047" top="0.55118110236220497" bottom="0.55118110236220497" header="0.31496062992126" footer="0.31496062992126"/>
  <pageSetup paperSize="9" scale="76"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tint="-0.249977111117893"/>
    <pageSetUpPr fitToPage="1"/>
  </sheetPr>
  <dimension ref="A1:Q511"/>
  <sheetViews>
    <sheetView showGridLines="0" zoomScale="90" zoomScaleNormal="90" workbookViewId="0">
      <selection activeCell="A6" sqref="A6:XFD6"/>
    </sheetView>
  </sheetViews>
  <sheetFormatPr baseColWidth="10" defaultColWidth="11.44140625" defaultRowHeight="14.4"/>
  <cols>
    <col min="1" max="1" width="3.109375" style="46" customWidth="1"/>
    <col min="2" max="2" width="4.88671875" style="47" customWidth="1"/>
    <col min="3" max="3" width="41.33203125" style="48" customWidth="1"/>
    <col min="4" max="6" width="5.6640625" style="48" customWidth="1"/>
    <col min="7" max="7" width="7.33203125" style="48" customWidth="1"/>
    <col min="8" max="17" width="5.6640625" style="48" customWidth="1"/>
    <col min="18" max="20" width="3.33203125" style="48" customWidth="1"/>
    <col min="21" max="16384" width="11.44140625" style="48"/>
  </cols>
  <sheetData>
    <row r="1" spans="2:17" ht="15" customHeight="1">
      <c r="B1" s="874" t="s">
        <v>708</v>
      </c>
      <c r="C1" s="563"/>
      <c r="D1" s="563"/>
      <c r="E1" s="563"/>
      <c r="F1" s="563"/>
      <c r="G1" s="563"/>
      <c r="H1" s="563"/>
      <c r="I1" s="563"/>
      <c r="J1" s="563"/>
      <c r="K1" s="563"/>
      <c r="L1" s="563"/>
      <c r="M1" s="563"/>
      <c r="N1" s="563"/>
      <c r="O1" s="563"/>
      <c r="P1" s="563"/>
      <c r="Q1" s="563"/>
    </row>
    <row r="2" spans="2:17" ht="3.75" customHeight="1">
      <c r="B2" s="49"/>
      <c r="C2" s="50"/>
      <c r="D2" s="50"/>
      <c r="E2" s="50"/>
      <c r="F2" s="50"/>
      <c r="G2" s="50"/>
      <c r="H2" s="50"/>
      <c r="I2" s="50"/>
      <c r="J2" s="50"/>
      <c r="K2" s="50"/>
      <c r="L2" s="50"/>
      <c r="M2" s="50"/>
      <c r="N2" s="50"/>
      <c r="O2" s="50"/>
      <c r="P2" s="50"/>
      <c r="Q2" s="50"/>
    </row>
    <row r="3" spans="2:17" ht="22.5" customHeight="1">
      <c r="B3" s="744" t="s">
        <v>95</v>
      </c>
      <c r="C3" s="745"/>
      <c r="D3" s="244"/>
      <c r="E3" s="245"/>
      <c r="F3" s="245"/>
      <c r="G3" s="246"/>
      <c r="H3" s="244"/>
      <c r="I3" s="245"/>
      <c r="J3" s="245"/>
      <c r="K3" s="245"/>
      <c r="L3" s="246"/>
      <c r="M3" s="244"/>
      <c r="N3" s="703" t="s">
        <v>96</v>
      </c>
      <c r="O3" s="703"/>
      <c r="P3" s="703"/>
      <c r="Q3" s="704"/>
    </row>
    <row r="4" spans="2:17" ht="15" customHeight="1">
      <c r="B4" s="51" t="s">
        <v>709</v>
      </c>
      <c r="C4" s="734" t="s">
        <v>710</v>
      </c>
      <c r="D4" s="734"/>
      <c r="E4" s="734"/>
      <c r="F4" s="734"/>
      <c r="G4" s="734"/>
      <c r="H4" s="734"/>
      <c r="I4" s="734"/>
      <c r="J4" s="734"/>
      <c r="K4" s="734"/>
      <c r="L4" s="734"/>
      <c r="M4" s="734"/>
      <c r="N4" s="746">
        <f>'E.1. Mat_Primas'!J21</f>
        <v>110344.72534999999</v>
      </c>
      <c r="O4" s="746"/>
      <c r="P4" s="746"/>
      <c r="Q4" s="746"/>
    </row>
    <row r="5" spans="2:17" ht="15" customHeight="1">
      <c r="B5" s="51" t="s">
        <v>711</v>
      </c>
      <c r="C5" s="734" t="s">
        <v>712</v>
      </c>
      <c r="D5" s="734"/>
      <c r="E5" s="734"/>
      <c r="F5" s="734"/>
      <c r="G5" s="734"/>
      <c r="H5" s="734"/>
      <c r="I5" s="734"/>
      <c r="J5" s="734"/>
      <c r="K5" s="734"/>
      <c r="L5" s="734"/>
      <c r="M5" s="734"/>
      <c r="N5" s="746">
        <f>'E.2. Productos Fitosanitarios'!E17</f>
        <v>20400</v>
      </c>
      <c r="O5" s="746"/>
      <c r="P5" s="746"/>
      <c r="Q5" s="746"/>
    </row>
    <row r="6" spans="2:17" ht="15" customHeight="1">
      <c r="B6" s="763" t="s">
        <v>713</v>
      </c>
      <c r="C6" s="763"/>
      <c r="D6" s="462"/>
      <c r="E6" s="463"/>
      <c r="F6" s="463"/>
      <c r="G6" s="463"/>
      <c r="H6" s="464"/>
      <c r="I6" s="464"/>
      <c r="J6" s="464"/>
      <c r="K6" s="464"/>
      <c r="L6" s="464"/>
      <c r="M6" s="464"/>
      <c r="N6" s="764">
        <f>SUM(N4:Q5)</f>
        <v>130744.72534999999</v>
      </c>
      <c r="O6" s="764"/>
      <c r="P6" s="764"/>
      <c r="Q6" s="764"/>
    </row>
    <row r="7" spans="2:17" s="46" customFormat="1" ht="15" customHeight="1">
      <c r="B7" s="47"/>
      <c r="C7" s="48"/>
      <c r="D7" s="48"/>
      <c r="E7" s="48"/>
      <c r="F7" s="48"/>
      <c r="G7" s="48"/>
      <c r="H7" s="48"/>
      <c r="I7" s="48"/>
      <c r="J7" s="48"/>
      <c r="K7" s="48"/>
      <c r="L7" s="48"/>
      <c r="M7" s="48"/>
      <c r="N7" s="48"/>
      <c r="O7" s="48"/>
      <c r="P7" s="48"/>
      <c r="Q7" s="48"/>
    </row>
    <row r="8" spans="2:17" s="46" customFormat="1" ht="15" customHeight="1">
      <c r="B8" s="47"/>
      <c r="C8" s="48"/>
      <c r="D8" s="48"/>
      <c r="E8" s="48"/>
      <c r="F8" s="48"/>
      <c r="G8" s="48"/>
      <c r="H8" s="48"/>
      <c r="I8" s="48"/>
      <c r="J8" s="48"/>
      <c r="K8" s="48"/>
      <c r="L8" s="48"/>
      <c r="M8" s="48"/>
      <c r="N8" s="48"/>
      <c r="O8" s="48"/>
      <c r="P8" s="48"/>
      <c r="Q8" s="48"/>
    </row>
    <row r="9" spans="2:17" s="46" customFormat="1" ht="15" customHeight="1">
      <c r="B9" s="47"/>
      <c r="C9" s="48"/>
      <c r="D9" s="48"/>
      <c r="E9" s="48"/>
      <c r="F9" s="48"/>
      <c r="G9" s="48"/>
      <c r="H9" s="48"/>
      <c r="I9" s="48"/>
      <c r="J9" s="48"/>
      <c r="K9" s="48"/>
      <c r="L9" s="48"/>
      <c r="M9" s="48"/>
      <c r="N9" s="48"/>
      <c r="O9" s="48"/>
      <c r="P9" s="48"/>
      <c r="Q9" s="48"/>
    </row>
    <row r="10" spans="2:17" s="46" customFormat="1" ht="15" customHeight="1">
      <c r="P10" s="48"/>
      <c r="Q10" s="48"/>
    </row>
    <row r="11" spans="2:17" s="46" customFormat="1" ht="15" customHeight="1">
      <c r="P11" s="48"/>
      <c r="Q11" s="48"/>
    </row>
    <row r="12" spans="2:17" s="46" customFormat="1" ht="15" customHeight="1">
      <c r="P12" s="48"/>
      <c r="Q12" s="48"/>
    </row>
    <row r="13" spans="2:17" s="46" customFormat="1" ht="15" customHeight="1">
      <c r="P13" s="48"/>
      <c r="Q13" s="48"/>
    </row>
    <row r="14" spans="2:17" s="46" customFormat="1" ht="15" customHeight="1">
      <c r="B14" s="47"/>
      <c r="C14" s="48"/>
      <c r="D14" s="48"/>
      <c r="E14" s="48"/>
      <c r="F14" s="48"/>
      <c r="G14" s="48"/>
      <c r="H14" s="48"/>
      <c r="I14" s="48"/>
      <c r="J14" s="48"/>
      <c r="K14" s="48"/>
      <c r="L14" s="48"/>
      <c r="M14" s="48"/>
      <c r="N14" s="48"/>
      <c r="O14" s="48"/>
      <c r="P14" s="48"/>
      <c r="Q14" s="48"/>
    </row>
    <row r="15" spans="2:17" s="46" customFormat="1" ht="15" customHeight="1">
      <c r="B15" s="47"/>
      <c r="C15" s="48"/>
      <c r="D15" s="48"/>
      <c r="E15" s="48"/>
      <c r="F15" s="48"/>
      <c r="G15" s="48"/>
      <c r="H15" s="48"/>
      <c r="I15" s="48"/>
      <c r="J15" s="48"/>
      <c r="K15" s="48"/>
      <c r="L15" s="48"/>
      <c r="M15" s="48"/>
      <c r="N15" s="48"/>
      <c r="O15" s="48"/>
      <c r="P15" s="48"/>
      <c r="Q15" s="48"/>
    </row>
    <row r="16" spans="2:17" s="46" customFormat="1" ht="15" customHeight="1">
      <c r="B16" s="47"/>
      <c r="C16" s="48"/>
      <c r="D16" s="48"/>
      <c r="E16" s="48"/>
      <c r="F16" s="48"/>
      <c r="G16" s="48"/>
      <c r="H16" s="48"/>
      <c r="I16" s="48"/>
      <c r="J16" s="48"/>
      <c r="K16" s="48"/>
      <c r="L16" s="48"/>
      <c r="M16" s="48"/>
      <c r="N16" s="48"/>
      <c r="O16" s="48"/>
      <c r="P16" s="48"/>
      <c r="Q16" s="48"/>
    </row>
    <row r="17" spans="2:17" s="46" customFormat="1" ht="15" customHeight="1">
      <c r="B17" s="47"/>
      <c r="C17" s="48"/>
      <c r="D17" s="48"/>
      <c r="E17" s="48"/>
      <c r="F17" s="48"/>
      <c r="G17" s="48"/>
      <c r="H17" s="48"/>
      <c r="I17" s="48"/>
      <c r="J17" s="48"/>
      <c r="K17" s="48"/>
      <c r="L17" s="48"/>
      <c r="M17" s="48"/>
      <c r="N17" s="48"/>
      <c r="O17" s="48"/>
      <c r="P17" s="48"/>
      <c r="Q17" s="48"/>
    </row>
    <row r="18" spans="2:17" s="46" customFormat="1" ht="15" customHeight="1">
      <c r="B18" s="47"/>
      <c r="C18" s="48"/>
      <c r="D18" s="48"/>
      <c r="E18" s="48"/>
      <c r="F18" s="48"/>
      <c r="G18" s="48"/>
      <c r="H18" s="48"/>
      <c r="I18" s="48"/>
      <c r="J18" s="48"/>
      <c r="K18" s="48"/>
      <c r="L18" s="48"/>
      <c r="M18" s="48"/>
      <c r="N18" s="48"/>
      <c r="O18" s="48"/>
      <c r="P18" s="48"/>
      <c r="Q18" s="48"/>
    </row>
    <row r="19" spans="2:17" s="46" customFormat="1" ht="15" customHeight="1">
      <c r="B19" s="47"/>
      <c r="C19" s="48"/>
      <c r="D19" s="48"/>
      <c r="E19" s="48"/>
      <c r="F19" s="48"/>
      <c r="G19" s="48"/>
      <c r="H19" s="48"/>
      <c r="I19" s="48"/>
      <c r="J19" s="48"/>
      <c r="K19" s="48"/>
      <c r="L19" s="48"/>
      <c r="M19" s="48"/>
      <c r="N19" s="48"/>
      <c r="O19" s="48"/>
      <c r="P19" s="48"/>
      <c r="Q19" s="48"/>
    </row>
    <row r="20" spans="2:17" s="46" customFormat="1" ht="15" customHeight="1">
      <c r="B20" s="47"/>
      <c r="C20" s="48"/>
      <c r="D20" s="48"/>
      <c r="E20" s="48"/>
      <c r="F20" s="48"/>
      <c r="G20" s="48"/>
      <c r="H20" s="48"/>
      <c r="I20" s="48"/>
      <c r="J20" s="48"/>
      <c r="K20" s="48"/>
      <c r="L20" s="48"/>
      <c r="M20" s="48"/>
      <c r="N20" s="48"/>
      <c r="O20" s="48"/>
      <c r="P20" s="48"/>
      <c r="Q20" s="48"/>
    </row>
    <row r="21" spans="2:17" s="46" customFormat="1" ht="15" customHeight="1">
      <c r="B21" s="47"/>
      <c r="C21" s="48"/>
      <c r="D21" s="48"/>
      <c r="E21" s="48"/>
      <c r="F21" s="48"/>
      <c r="G21" s="48"/>
      <c r="H21" s="48"/>
      <c r="I21" s="48"/>
      <c r="J21" s="48"/>
      <c r="K21" s="48"/>
      <c r="L21" s="48"/>
      <c r="M21" s="48"/>
      <c r="N21" s="48"/>
      <c r="O21" s="48"/>
      <c r="P21" s="48"/>
      <c r="Q21" s="48"/>
    </row>
    <row r="22" spans="2:17" s="46" customFormat="1" ht="15" customHeight="1">
      <c r="B22" s="47"/>
      <c r="C22" s="48"/>
      <c r="D22" s="48"/>
      <c r="E22" s="48"/>
      <c r="F22" s="48"/>
      <c r="G22" s="48"/>
      <c r="H22" s="48"/>
      <c r="I22" s="48"/>
      <c r="J22" s="48"/>
      <c r="K22" s="48"/>
      <c r="L22" s="48"/>
      <c r="M22" s="48"/>
      <c r="N22" s="48"/>
      <c r="O22" s="48"/>
      <c r="P22" s="48"/>
      <c r="Q22" s="48"/>
    </row>
    <row r="23" spans="2:17" s="46" customFormat="1" ht="15" customHeight="1">
      <c r="B23" s="47"/>
      <c r="C23" s="48"/>
      <c r="D23" s="48"/>
      <c r="E23" s="48"/>
      <c r="F23" s="48"/>
      <c r="G23" s="48"/>
      <c r="H23" s="48"/>
      <c r="I23" s="48"/>
      <c r="J23" s="48"/>
      <c r="K23" s="48"/>
      <c r="L23" s="48"/>
      <c r="M23" s="48"/>
      <c r="N23" s="48"/>
      <c r="O23" s="48"/>
      <c r="P23" s="48"/>
      <c r="Q23" s="48"/>
    </row>
    <row r="24" spans="2:17" s="46" customFormat="1" ht="15" customHeight="1">
      <c r="B24" s="47"/>
      <c r="C24" s="48"/>
      <c r="D24" s="48"/>
      <c r="E24" s="48"/>
      <c r="F24" s="48"/>
      <c r="G24" s="48"/>
      <c r="H24" s="48"/>
      <c r="I24" s="48"/>
      <c r="J24" s="48"/>
      <c r="K24" s="48"/>
      <c r="L24" s="48"/>
      <c r="M24" s="48"/>
      <c r="N24" s="48"/>
      <c r="O24" s="48"/>
      <c r="P24" s="48"/>
      <c r="Q24" s="48"/>
    </row>
    <row r="25" spans="2:17" s="46" customFormat="1" ht="15" customHeight="1">
      <c r="B25" s="47"/>
      <c r="C25" s="48"/>
      <c r="D25" s="48"/>
      <c r="E25" s="48"/>
      <c r="F25" s="48"/>
      <c r="G25" s="48"/>
      <c r="H25" s="48"/>
      <c r="I25" s="48"/>
      <c r="J25" s="48"/>
      <c r="K25" s="48"/>
      <c r="L25" s="48"/>
      <c r="M25" s="48"/>
      <c r="N25" s="48"/>
      <c r="O25" s="48"/>
      <c r="P25" s="48"/>
      <c r="Q25" s="48"/>
    </row>
    <row r="26" spans="2:17" s="46" customFormat="1" ht="15" customHeight="1">
      <c r="B26" s="47"/>
      <c r="C26" s="48"/>
      <c r="D26" s="48"/>
      <c r="E26" s="48"/>
      <c r="F26" s="48"/>
      <c r="G26" s="48"/>
      <c r="H26" s="48"/>
      <c r="I26" s="48"/>
      <c r="J26" s="48"/>
      <c r="K26" s="48"/>
      <c r="L26" s="48"/>
      <c r="M26" s="48"/>
      <c r="N26" s="48"/>
      <c r="O26" s="48"/>
      <c r="P26" s="48"/>
      <c r="Q26" s="48"/>
    </row>
    <row r="27" spans="2:17" s="46" customFormat="1" ht="15" customHeight="1">
      <c r="B27" s="47"/>
      <c r="C27" s="48"/>
      <c r="D27" s="48"/>
      <c r="E27" s="48"/>
      <c r="F27" s="48"/>
      <c r="G27" s="48"/>
      <c r="H27" s="48"/>
      <c r="I27" s="48"/>
      <c r="J27" s="48"/>
      <c r="K27" s="48"/>
      <c r="L27" s="48"/>
      <c r="M27" s="48"/>
      <c r="N27" s="48"/>
      <c r="O27" s="48"/>
      <c r="P27" s="48"/>
      <c r="Q27" s="48"/>
    </row>
    <row r="28" spans="2:17" s="46" customFormat="1" ht="15" customHeight="1">
      <c r="B28" s="47"/>
      <c r="C28" s="48"/>
      <c r="D28" s="48"/>
      <c r="E28" s="48"/>
      <c r="F28" s="48"/>
      <c r="G28" s="48"/>
      <c r="H28" s="48"/>
      <c r="I28" s="48"/>
      <c r="J28" s="48"/>
      <c r="K28" s="48"/>
      <c r="L28" s="48"/>
      <c r="M28" s="48"/>
      <c r="N28" s="48"/>
      <c r="O28" s="48"/>
      <c r="P28" s="48"/>
      <c r="Q28" s="48"/>
    </row>
    <row r="29" spans="2:17" s="46" customFormat="1" ht="15" customHeight="1">
      <c r="B29" s="47"/>
      <c r="C29" s="48"/>
      <c r="D29" s="48"/>
      <c r="E29" s="48"/>
      <c r="F29" s="48"/>
      <c r="G29" s="48"/>
      <c r="H29" s="48"/>
      <c r="I29" s="48"/>
      <c r="J29" s="48"/>
      <c r="K29" s="48"/>
      <c r="L29" s="48"/>
      <c r="M29" s="48"/>
      <c r="N29" s="48"/>
      <c r="O29" s="48"/>
      <c r="P29" s="48"/>
      <c r="Q29" s="48"/>
    </row>
    <row r="30" spans="2:17" s="46" customFormat="1" ht="15" customHeight="1">
      <c r="B30" s="47"/>
      <c r="C30" s="48"/>
      <c r="D30" s="48"/>
      <c r="E30" s="48"/>
      <c r="F30" s="48"/>
      <c r="G30" s="48"/>
      <c r="H30" s="48"/>
      <c r="I30" s="48"/>
      <c r="J30" s="48"/>
      <c r="K30" s="48"/>
      <c r="L30" s="48"/>
      <c r="M30" s="48"/>
      <c r="N30" s="48"/>
      <c r="O30" s="48"/>
      <c r="P30" s="48"/>
      <c r="Q30" s="48"/>
    </row>
    <row r="31" spans="2:17" s="46" customFormat="1" ht="15" customHeight="1">
      <c r="B31" s="47"/>
      <c r="C31" s="48"/>
      <c r="D31" s="48"/>
      <c r="E31" s="48"/>
      <c r="F31" s="48"/>
      <c r="G31" s="48"/>
      <c r="H31" s="48"/>
      <c r="I31" s="48"/>
      <c r="J31" s="48"/>
      <c r="K31" s="48"/>
      <c r="L31" s="48"/>
      <c r="M31" s="48"/>
      <c r="N31" s="48"/>
      <c r="O31" s="48"/>
      <c r="P31" s="48"/>
      <c r="Q31" s="48"/>
    </row>
    <row r="32" spans="2:17" s="46" customFormat="1" ht="15" customHeight="1">
      <c r="B32" s="47"/>
      <c r="C32" s="48"/>
      <c r="D32" s="48"/>
      <c r="E32" s="48"/>
      <c r="F32" s="48"/>
      <c r="G32" s="48"/>
      <c r="H32" s="48"/>
      <c r="I32" s="48"/>
      <c r="J32" s="48"/>
      <c r="K32" s="48"/>
      <c r="L32" s="48"/>
      <c r="M32" s="48"/>
      <c r="N32" s="48"/>
      <c r="O32" s="48"/>
      <c r="P32" s="48"/>
      <c r="Q32" s="48"/>
    </row>
    <row r="33" spans="2:17" s="46" customFormat="1" ht="15" customHeight="1">
      <c r="B33" s="47"/>
      <c r="C33" s="48"/>
      <c r="D33" s="48"/>
      <c r="E33" s="48"/>
      <c r="F33" s="48"/>
      <c r="G33" s="48"/>
      <c r="H33" s="48"/>
      <c r="I33" s="48"/>
      <c r="J33" s="48"/>
      <c r="K33" s="48"/>
      <c r="L33" s="48"/>
      <c r="M33" s="48"/>
      <c r="N33" s="48"/>
      <c r="O33" s="48"/>
      <c r="P33" s="48"/>
      <c r="Q33" s="48"/>
    </row>
    <row r="34" spans="2:17" s="46" customFormat="1" ht="15" customHeight="1">
      <c r="B34" s="47"/>
      <c r="C34" s="48"/>
      <c r="D34" s="48"/>
      <c r="E34" s="48"/>
      <c r="F34" s="48"/>
      <c r="G34" s="48"/>
      <c r="H34" s="48"/>
      <c r="I34" s="48"/>
      <c r="J34" s="48"/>
      <c r="K34" s="48"/>
      <c r="L34" s="48"/>
      <c r="M34" s="48"/>
      <c r="N34" s="48"/>
      <c r="O34" s="48"/>
      <c r="P34" s="48"/>
      <c r="Q34" s="48"/>
    </row>
    <row r="35" spans="2:17" s="46" customFormat="1" ht="15" customHeight="1">
      <c r="B35" s="47"/>
      <c r="C35" s="48"/>
      <c r="D35" s="48"/>
      <c r="E35" s="48"/>
      <c r="F35" s="48"/>
      <c r="G35" s="48"/>
      <c r="H35" s="48"/>
      <c r="I35" s="48"/>
      <c r="J35" s="48"/>
      <c r="K35" s="48"/>
      <c r="L35" s="48"/>
      <c r="M35" s="48"/>
      <c r="N35" s="48"/>
      <c r="O35" s="48"/>
      <c r="P35" s="48"/>
      <c r="Q35" s="48"/>
    </row>
    <row r="36" spans="2:17" s="46" customFormat="1" ht="15" customHeight="1">
      <c r="B36" s="47"/>
      <c r="C36" s="48"/>
      <c r="D36" s="48"/>
      <c r="E36" s="48"/>
      <c r="F36" s="48"/>
      <c r="G36" s="48"/>
      <c r="H36" s="48"/>
      <c r="I36" s="48"/>
      <c r="J36" s="48"/>
      <c r="K36" s="48"/>
      <c r="L36" s="48"/>
      <c r="M36" s="48"/>
      <c r="N36" s="48"/>
      <c r="O36" s="48"/>
      <c r="P36" s="48"/>
      <c r="Q36" s="48"/>
    </row>
    <row r="37" spans="2:17" s="46" customFormat="1" ht="15" customHeight="1">
      <c r="B37" s="47"/>
      <c r="C37" s="48"/>
      <c r="D37" s="48"/>
      <c r="E37" s="48"/>
      <c r="F37" s="48"/>
      <c r="G37" s="48"/>
      <c r="H37" s="48"/>
      <c r="I37" s="48"/>
      <c r="J37" s="48"/>
      <c r="K37" s="48"/>
      <c r="L37" s="48"/>
      <c r="M37" s="48"/>
      <c r="N37" s="48"/>
      <c r="O37" s="48"/>
      <c r="P37" s="48"/>
      <c r="Q37" s="48"/>
    </row>
    <row r="38" spans="2:17" s="46" customFormat="1" ht="15" customHeight="1">
      <c r="B38" s="47"/>
      <c r="C38" s="48"/>
      <c r="D38" s="48"/>
      <c r="E38" s="48"/>
      <c r="F38" s="48"/>
      <c r="G38" s="48"/>
      <c r="H38" s="48"/>
      <c r="I38" s="48"/>
      <c r="J38" s="48"/>
      <c r="K38" s="48"/>
      <c r="L38" s="48"/>
      <c r="M38" s="48"/>
      <c r="N38" s="48"/>
      <c r="O38" s="48"/>
      <c r="P38" s="48"/>
      <c r="Q38" s="48"/>
    </row>
    <row r="39" spans="2:17" s="46" customFormat="1" ht="15" customHeight="1">
      <c r="B39" s="47"/>
      <c r="C39" s="48"/>
      <c r="D39" s="48"/>
      <c r="E39" s="48"/>
      <c r="F39" s="48"/>
      <c r="G39" s="48"/>
      <c r="H39" s="48"/>
      <c r="I39" s="48"/>
      <c r="J39" s="48"/>
      <c r="K39" s="48"/>
      <c r="L39" s="48"/>
      <c r="M39" s="48"/>
      <c r="N39" s="48"/>
      <c r="O39" s="48"/>
      <c r="P39" s="48"/>
      <c r="Q39" s="48"/>
    </row>
    <row r="40" spans="2:17" s="46" customFormat="1" ht="15" customHeight="1">
      <c r="B40" s="47"/>
      <c r="C40" s="48"/>
      <c r="D40" s="48"/>
      <c r="E40" s="48"/>
      <c r="F40" s="48"/>
      <c r="G40" s="48"/>
      <c r="H40" s="48"/>
      <c r="I40" s="48"/>
      <c r="J40" s="48"/>
      <c r="K40" s="48"/>
      <c r="L40" s="48"/>
      <c r="M40" s="48"/>
      <c r="N40" s="48"/>
      <c r="O40" s="48"/>
      <c r="P40" s="48"/>
      <c r="Q40" s="48"/>
    </row>
    <row r="41" spans="2:17" s="46" customFormat="1" ht="15" customHeight="1">
      <c r="B41" s="47"/>
      <c r="C41" s="48"/>
      <c r="D41" s="48"/>
      <c r="E41" s="48"/>
      <c r="F41" s="48"/>
      <c r="G41" s="48"/>
      <c r="H41" s="48"/>
      <c r="I41" s="48"/>
      <c r="J41" s="48"/>
      <c r="K41" s="48"/>
      <c r="L41" s="48"/>
      <c r="M41" s="48"/>
      <c r="N41" s="48"/>
      <c r="O41" s="48"/>
      <c r="P41" s="48"/>
      <c r="Q41" s="48"/>
    </row>
    <row r="42" spans="2:17" s="46" customFormat="1" ht="15" customHeight="1">
      <c r="B42" s="47"/>
      <c r="C42" s="48"/>
      <c r="D42" s="48"/>
      <c r="E42" s="48"/>
      <c r="F42" s="48"/>
      <c r="G42" s="48"/>
      <c r="H42" s="48"/>
      <c r="I42" s="48"/>
      <c r="J42" s="48"/>
      <c r="K42" s="48"/>
      <c r="L42" s="48"/>
      <c r="M42" s="48"/>
      <c r="N42" s="48"/>
      <c r="O42" s="48"/>
      <c r="P42" s="48"/>
      <c r="Q42" s="48"/>
    </row>
    <row r="43" spans="2:17" s="46" customFormat="1" ht="15" customHeight="1">
      <c r="B43" s="47"/>
      <c r="C43" s="48"/>
      <c r="D43" s="48"/>
      <c r="E43" s="48"/>
      <c r="F43" s="48"/>
      <c r="G43" s="48"/>
      <c r="H43" s="48"/>
      <c r="I43" s="48"/>
      <c r="J43" s="48"/>
      <c r="K43" s="48"/>
      <c r="L43" s="48"/>
      <c r="M43" s="48"/>
      <c r="N43" s="48"/>
      <c r="O43" s="48"/>
      <c r="P43" s="48"/>
      <c r="Q43" s="48"/>
    </row>
    <row r="44" spans="2:17" s="46" customFormat="1" ht="15" customHeight="1">
      <c r="B44" s="47"/>
      <c r="C44" s="48"/>
      <c r="D44" s="48"/>
      <c r="E44" s="48"/>
      <c r="F44" s="48"/>
      <c r="G44" s="48"/>
      <c r="H44" s="48"/>
      <c r="I44" s="48"/>
      <c r="J44" s="48"/>
      <c r="K44" s="48"/>
      <c r="L44" s="48"/>
      <c r="M44" s="48"/>
      <c r="N44" s="48"/>
      <c r="O44" s="48"/>
      <c r="P44" s="48"/>
      <c r="Q44" s="48"/>
    </row>
    <row r="45" spans="2:17" s="46" customFormat="1" ht="15" customHeight="1">
      <c r="B45" s="47"/>
      <c r="C45" s="48"/>
      <c r="D45" s="48"/>
      <c r="E45" s="48"/>
      <c r="F45" s="48"/>
      <c r="G45" s="48"/>
      <c r="H45" s="48"/>
      <c r="I45" s="48"/>
      <c r="J45" s="48"/>
      <c r="K45" s="48"/>
      <c r="L45" s="48"/>
      <c r="M45" s="48"/>
      <c r="N45" s="48"/>
      <c r="O45" s="48"/>
      <c r="P45" s="48"/>
      <c r="Q45" s="48"/>
    </row>
    <row r="46" spans="2:17" s="46" customFormat="1" ht="15" customHeight="1">
      <c r="B46" s="47"/>
      <c r="C46" s="48"/>
      <c r="D46" s="48"/>
      <c r="E46" s="48"/>
      <c r="F46" s="48"/>
      <c r="G46" s="48"/>
      <c r="H46" s="48"/>
      <c r="I46" s="48"/>
      <c r="J46" s="48"/>
      <c r="K46" s="48"/>
      <c r="L46" s="48"/>
      <c r="M46" s="48"/>
      <c r="N46" s="48"/>
      <c r="O46" s="48"/>
      <c r="P46" s="48"/>
      <c r="Q46" s="48"/>
    </row>
    <row r="47" spans="2:17" s="46" customFormat="1" ht="15" customHeight="1">
      <c r="B47" s="47"/>
      <c r="C47" s="48"/>
      <c r="D47" s="48"/>
      <c r="E47" s="48"/>
      <c r="F47" s="48"/>
      <c r="G47" s="48"/>
      <c r="H47" s="48"/>
      <c r="I47" s="48"/>
      <c r="J47" s="48"/>
      <c r="K47" s="48"/>
      <c r="L47" s="48"/>
      <c r="M47" s="48"/>
      <c r="N47" s="48"/>
      <c r="O47" s="48"/>
      <c r="P47" s="48"/>
      <c r="Q47" s="48"/>
    </row>
    <row r="48" spans="2:17" s="46" customFormat="1" ht="15" customHeight="1">
      <c r="B48" s="47"/>
      <c r="C48" s="48"/>
      <c r="D48" s="48"/>
      <c r="E48" s="48"/>
      <c r="F48" s="48"/>
      <c r="G48" s="48"/>
      <c r="H48" s="48"/>
      <c r="I48" s="48"/>
      <c r="J48" s="48"/>
      <c r="K48" s="48"/>
      <c r="L48" s="48"/>
      <c r="M48" s="48"/>
      <c r="N48" s="48"/>
      <c r="O48" s="48"/>
      <c r="P48" s="48"/>
      <c r="Q48" s="48"/>
    </row>
    <row r="49" spans="2:17" s="46" customFormat="1" ht="15" customHeight="1">
      <c r="B49" s="47"/>
      <c r="C49" s="48"/>
      <c r="D49" s="48"/>
      <c r="E49" s="48"/>
      <c r="F49" s="48"/>
      <c r="G49" s="48"/>
      <c r="H49" s="48"/>
      <c r="I49" s="48"/>
      <c r="J49" s="48"/>
      <c r="K49" s="48"/>
      <c r="L49" s="48"/>
      <c r="M49" s="48"/>
      <c r="N49" s="48"/>
      <c r="O49" s="48"/>
      <c r="P49" s="48"/>
      <c r="Q49" s="48"/>
    </row>
    <row r="50" spans="2:17" s="46" customFormat="1" ht="15" customHeight="1">
      <c r="B50" s="47"/>
      <c r="C50" s="48"/>
      <c r="D50" s="48"/>
      <c r="E50" s="48"/>
      <c r="F50" s="48"/>
      <c r="G50" s="48"/>
      <c r="H50" s="48"/>
      <c r="I50" s="48"/>
      <c r="J50" s="48"/>
      <c r="K50" s="48"/>
      <c r="L50" s="48"/>
      <c r="M50" s="48"/>
      <c r="N50" s="48"/>
      <c r="O50" s="48"/>
      <c r="P50" s="48"/>
      <c r="Q50" s="48"/>
    </row>
    <row r="51" spans="2:17" s="46" customFormat="1" ht="15" customHeight="1">
      <c r="B51" s="47"/>
      <c r="C51" s="48"/>
      <c r="D51" s="48"/>
      <c r="E51" s="48"/>
      <c r="F51" s="48"/>
      <c r="G51" s="48"/>
      <c r="H51" s="48"/>
      <c r="I51" s="48"/>
      <c r="J51" s="48"/>
      <c r="K51" s="48"/>
      <c r="L51" s="48"/>
      <c r="M51" s="48"/>
      <c r="N51" s="48"/>
      <c r="O51" s="48"/>
      <c r="P51" s="48"/>
      <c r="Q51" s="48"/>
    </row>
    <row r="52" spans="2:17" s="46" customFormat="1" ht="15" customHeight="1">
      <c r="B52" s="47"/>
      <c r="C52" s="48"/>
      <c r="D52" s="48"/>
      <c r="E52" s="48"/>
      <c r="F52" s="48"/>
      <c r="G52" s="48"/>
      <c r="H52" s="48"/>
      <c r="I52" s="48"/>
      <c r="J52" s="48"/>
      <c r="K52" s="48"/>
      <c r="L52" s="48"/>
      <c r="M52" s="48"/>
      <c r="N52" s="48"/>
      <c r="O52" s="48"/>
      <c r="P52" s="48"/>
      <c r="Q52" s="48"/>
    </row>
    <row r="53" spans="2:17" s="46" customFormat="1" ht="15" customHeight="1">
      <c r="B53" s="47"/>
      <c r="C53" s="48"/>
      <c r="D53" s="48"/>
      <c r="E53" s="48"/>
      <c r="F53" s="48"/>
      <c r="G53" s="48"/>
      <c r="H53" s="48"/>
      <c r="I53" s="48"/>
      <c r="J53" s="48"/>
      <c r="K53" s="48"/>
      <c r="L53" s="48"/>
      <c r="M53" s="48"/>
      <c r="N53" s="48"/>
      <c r="O53" s="48"/>
      <c r="P53" s="48"/>
      <c r="Q53" s="48"/>
    </row>
    <row r="54" spans="2:17" s="46" customFormat="1" ht="15" customHeight="1">
      <c r="B54" s="47"/>
      <c r="C54" s="48"/>
      <c r="D54" s="48"/>
      <c r="E54" s="48"/>
      <c r="F54" s="48"/>
      <c r="G54" s="48"/>
      <c r="H54" s="48"/>
      <c r="I54" s="48"/>
      <c r="J54" s="48"/>
      <c r="K54" s="48"/>
      <c r="L54" s="48"/>
      <c r="M54" s="48"/>
      <c r="N54" s="48"/>
      <c r="O54" s="48"/>
      <c r="P54" s="48"/>
      <c r="Q54" s="48"/>
    </row>
    <row r="55" spans="2:17" s="46" customFormat="1" ht="15" customHeight="1">
      <c r="B55" s="47"/>
      <c r="C55" s="48"/>
      <c r="D55" s="48"/>
      <c r="E55" s="48"/>
      <c r="F55" s="48"/>
      <c r="G55" s="48"/>
      <c r="H55" s="48"/>
      <c r="I55" s="48"/>
      <c r="J55" s="48"/>
      <c r="K55" s="48"/>
      <c r="L55" s="48"/>
      <c r="M55" s="48"/>
      <c r="N55" s="48"/>
      <c r="O55" s="48"/>
      <c r="P55" s="48"/>
      <c r="Q55" s="48"/>
    </row>
    <row r="56" spans="2:17" s="46" customFormat="1" ht="15" customHeight="1">
      <c r="B56" s="47"/>
      <c r="C56" s="48"/>
      <c r="D56" s="48"/>
      <c r="E56" s="48"/>
      <c r="F56" s="48"/>
      <c r="G56" s="48"/>
      <c r="H56" s="48"/>
      <c r="I56" s="48"/>
      <c r="J56" s="48"/>
      <c r="K56" s="48"/>
      <c r="L56" s="48"/>
      <c r="M56" s="48"/>
      <c r="N56" s="48"/>
      <c r="O56" s="48"/>
      <c r="P56" s="48"/>
      <c r="Q56" s="48"/>
    </row>
    <row r="57" spans="2:17" s="46" customFormat="1" ht="15" customHeight="1">
      <c r="B57" s="47"/>
      <c r="C57" s="48"/>
      <c r="D57" s="48"/>
      <c r="E57" s="48"/>
      <c r="F57" s="48"/>
      <c r="G57" s="48"/>
      <c r="H57" s="48"/>
      <c r="I57" s="48"/>
      <c r="J57" s="48"/>
      <c r="K57" s="48"/>
      <c r="L57" s="48"/>
      <c r="M57" s="48"/>
      <c r="N57" s="48"/>
      <c r="O57" s="48"/>
      <c r="P57" s="48"/>
      <c r="Q57" s="48"/>
    </row>
    <row r="58" spans="2:17" s="46" customFormat="1" ht="15" customHeight="1">
      <c r="B58" s="47"/>
      <c r="C58" s="48"/>
      <c r="D58" s="48"/>
      <c r="E58" s="48"/>
      <c r="F58" s="48"/>
      <c r="G58" s="48"/>
      <c r="H58" s="48"/>
      <c r="I58" s="48"/>
      <c r="J58" s="48"/>
      <c r="K58" s="48"/>
      <c r="L58" s="48"/>
      <c r="M58" s="48"/>
      <c r="N58" s="48"/>
      <c r="O58" s="48"/>
      <c r="P58" s="48"/>
      <c r="Q58" s="48"/>
    </row>
    <row r="59" spans="2:17" s="46" customFormat="1" ht="15" customHeight="1">
      <c r="B59" s="47"/>
      <c r="C59" s="48"/>
      <c r="D59" s="48"/>
      <c r="E59" s="48"/>
      <c r="F59" s="48"/>
      <c r="G59" s="48"/>
      <c r="H59" s="48"/>
      <c r="I59" s="48"/>
      <c r="J59" s="48"/>
      <c r="K59" s="48"/>
      <c r="L59" s="48"/>
      <c r="M59" s="48"/>
      <c r="N59" s="48"/>
      <c r="O59" s="48"/>
      <c r="P59" s="48"/>
      <c r="Q59" s="48"/>
    </row>
    <row r="60" spans="2:17" s="46" customFormat="1" ht="15" customHeight="1">
      <c r="B60" s="47"/>
      <c r="C60" s="48"/>
      <c r="D60" s="48"/>
      <c r="E60" s="48"/>
      <c r="F60" s="48"/>
      <c r="G60" s="48"/>
      <c r="H60" s="48"/>
      <c r="I60" s="48"/>
      <c r="J60" s="48"/>
      <c r="K60" s="48"/>
      <c r="L60" s="48"/>
      <c r="M60" s="48"/>
      <c r="N60" s="48"/>
      <c r="O60" s="48"/>
      <c r="P60" s="48"/>
      <c r="Q60" s="48"/>
    </row>
    <row r="61" spans="2:17" s="46" customFormat="1" ht="15" customHeight="1">
      <c r="B61" s="47"/>
      <c r="C61" s="48"/>
      <c r="D61" s="48"/>
      <c r="E61" s="48"/>
      <c r="F61" s="48"/>
      <c r="G61" s="48"/>
      <c r="H61" s="48"/>
      <c r="I61" s="48"/>
      <c r="J61" s="48"/>
      <c r="K61" s="48"/>
      <c r="L61" s="48"/>
      <c r="M61" s="48"/>
      <c r="N61" s="48"/>
      <c r="O61" s="48"/>
      <c r="P61" s="48"/>
      <c r="Q61" s="48"/>
    </row>
    <row r="62" spans="2:17" s="46" customFormat="1" ht="15" customHeight="1">
      <c r="B62" s="47"/>
      <c r="C62" s="48"/>
      <c r="D62" s="48"/>
      <c r="E62" s="48"/>
      <c r="F62" s="48"/>
      <c r="G62" s="48"/>
      <c r="H62" s="48"/>
      <c r="I62" s="48"/>
      <c r="J62" s="48"/>
      <c r="K62" s="48"/>
      <c r="L62" s="48"/>
      <c r="M62" s="48"/>
      <c r="N62" s="48"/>
      <c r="O62" s="48"/>
      <c r="P62" s="48"/>
      <c r="Q62" s="48"/>
    </row>
    <row r="63" spans="2:17" s="46" customFormat="1" ht="15" customHeight="1">
      <c r="B63" s="47"/>
      <c r="C63" s="48"/>
      <c r="D63" s="48"/>
      <c r="E63" s="48"/>
      <c r="F63" s="48"/>
      <c r="G63" s="48"/>
      <c r="H63" s="48"/>
      <c r="I63" s="48"/>
      <c r="J63" s="48"/>
      <c r="K63" s="48"/>
      <c r="L63" s="48"/>
      <c r="M63" s="48"/>
      <c r="N63" s="48"/>
      <c r="O63" s="48"/>
      <c r="P63" s="48"/>
      <c r="Q63" s="48"/>
    </row>
    <row r="64" spans="2:17" s="46" customFormat="1" ht="15" customHeight="1">
      <c r="B64" s="47"/>
      <c r="C64" s="48"/>
      <c r="D64" s="48"/>
      <c r="E64" s="48"/>
      <c r="F64" s="48"/>
      <c r="G64" s="48"/>
      <c r="H64" s="48"/>
      <c r="I64" s="48"/>
      <c r="J64" s="48"/>
      <c r="K64" s="48"/>
      <c r="L64" s="48"/>
      <c r="M64" s="48"/>
      <c r="N64" s="48"/>
      <c r="O64" s="48"/>
      <c r="P64" s="48"/>
      <c r="Q64" s="48"/>
    </row>
    <row r="65" spans="2:17" s="46" customFormat="1" ht="15" customHeight="1">
      <c r="B65" s="47"/>
      <c r="C65" s="48"/>
      <c r="D65" s="48"/>
      <c r="E65" s="48"/>
      <c r="F65" s="48"/>
      <c r="G65" s="48"/>
      <c r="H65" s="48"/>
      <c r="I65" s="48"/>
      <c r="J65" s="48"/>
      <c r="K65" s="48"/>
      <c r="L65" s="48"/>
      <c r="M65" s="48"/>
      <c r="N65" s="48"/>
      <c r="O65" s="48"/>
      <c r="P65" s="48"/>
      <c r="Q65" s="48"/>
    </row>
    <row r="66" spans="2:17" s="46" customFormat="1" ht="15" customHeight="1">
      <c r="B66" s="47"/>
      <c r="C66" s="48"/>
      <c r="D66" s="48"/>
      <c r="E66" s="48"/>
      <c r="F66" s="48"/>
      <c r="G66" s="48"/>
      <c r="H66" s="48"/>
      <c r="I66" s="48"/>
      <c r="J66" s="48"/>
      <c r="K66" s="48"/>
      <c r="L66" s="48"/>
      <c r="M66" s="48"/>
      <c r="N66" s="48"/>
      <c r="O66" s="48"/>
      <c r="P66" s="48"/>
      <c r="Q66" s="48"/>
    </row>
    <row r="67" spans="2:17" s="46" customFormat="1" ht="15" customHeight="1">
      <c r="B67" s="47"/>
      <c r="C67" s="48"/>
      <c r="D67" s="48"/>
      <c r="E67" s="48"/>
      <c r="F67" s="48"/>
      <c r="G67" s="48"/>
      <c r="H67" s="48"/>
      <c r="I67" s="48"/>
      <c r="J67" s="48"/>
      <c r="K67" s="48"/>
      <c r="L67" s="48"/>
      <c r="M67" s="48"/>
      <c r="N67" s="48"/>
      <c r="O67" s="48"/>
      <c r="P67" s="48"/>
      <c r="Q67" s="48"/>
    </row>
    <row r="68" spans="2:17" s="46" customFormat="1" ht="15" customHeight="1">
      <c r="B68" s="47"/>
      <c r="C68" s="48"/>
      <c r="D68" s="48"/>
      <c r="E68" s="48"/>
      <c r="F68" s="48"/>
      <c r="G68" s="48"/>
      <c r="H68" s="48"/>
      <c r="I68" s="48"/>
      <c r="J68" s="48"/>
      <c r="K68" s="48"/>
      <c r="L68" s="48"/>
      <c r="M68" s="48"/>
      <c r="N68" s="48"/>
      <c r="O68" s="48"/>
      <c r="P68" s="48"/>
      <c r="Q68" s="48"/>
    </row>
    <row r="69" spans="2:17" s="46" customFormat="1" ht="15" customHeight="1">
      <c r="B69" s="47"/>
      <c r="C69" s="48"/>
      <c r="D69" s="48"/>
      <c r="E69" s="48"/>
      <c r="F69" s="48"/>
      <c r="G69" s="48"/>
      <c r="H69" s="48"/>
      <c r="I69" s="48"/>
      <c r="J69" s="48"/>
      <c r="K69" s="48"/>
      <c r="L69" s="48"/>
      <c r="M69" s="48"/>
      <c r="N69" s="48"/>
      <c r="O69" s="48"/>
      <c r="P69" s="48"/>
      <c r="Q69" s="48"/>
    </row>
    <row r="70" spans="2:17" s="46" customFormat="1" ht="15" customHeight="1">
      <c r="B70" s="47"/>
      <c r="C70" s="48"/>
      <c r="D70" s="48"/>
      <c r="E70" s="48"/>
      <c r="F70" s="48"/>
      <c r="G70" s="48"/>
      <c r="H70" s="48"/>
      <c r="I70" s="48"/>
      <c r="J70" s="48"/>
      <c r="K70" s="48"/>
      <c r="L70" s="48"/>
      <c r="M70" s="48"/>
      <c r="N70" s="48"/>
      <c r="O70" s="48"/>
      <c r="P70" s="48"/>
      <c r="Q70" s="48"/>
    </row>
    <row r="71" spans="2:17" s="46" customFormat="1" ht="15" customHeight="1">
      <c r="B71" s="47"/>
      <c r="C71" s="48"/>
      <c r="D71" s="48"/>
      <c r="E71" s="48"/>
      <c r="F71" s="48"/>
      <c r="G71" s="48"/>
      <c r="H71" s="48"/>
      <c r="I71" s="48"/>
      <c r="J71" s="48"/>
      <c r="K71" s="48"/>
      <c r="L71" s="48"/>
      <c r="M71" s="48"/>
      <c r="N71" s="48"/>
      <c r="O71" s="48"/>
      <c r="P71" s="48"/>
      <c r="Q71" s="48"/>
    </row>
    <row r="72" spans="2:17" s="46" customFormat="1" ht="15" customHeight="1">
      <c r="B72" s="47"/>
      <c r="C72" s="48"/>
      <c r="D72" s="48"/>
      <c r="E72" s="48"/>
      <c r="F72" s="48"/>
      <c r="G72" s="48"/>
      <c r="H72" s="48"/>
      <c r="I72" s="48"/>
      <c r="J72" s="48"/>
      <c r="K72" s="48"/>
      <c r="L72" s="48"/>
      <c r="M72" s="48"/>
      <c r="N72" s="48"/>
      <c r="O72" s="48"/>
      <c r="P72" s="48"/>
      <c r="Q72" s="48"/>
    </row>
    <row r="73" spans="2:17" s="46" customFormat="1" ht="15" customHeight="1">
      <c r="B73" s="47"/>
      <c r="C73" s="48"/>
      <c r="D73" s="48"/>
      <c r="E73" s="48"/>
      <c r="F73" s="48"/>
      <c r="G73" s="48"/>
      <c r="H73" s="48"/>
      <c r="I73" s="48"/>
      <c r="J73" s="48"/>
      <c r="K73" s="48"/>
      <c r="L73" s="48"/>
      <c r="M73" s="48"/>
      <c r="N73" s="48"/>
      <c r="O73" s="48"/>
      <c r="P73" s="48"/>
      <c r="Q73" s="48"/>
    </row>
    <row r="74" spans="2:17" s="46" customFormat="1" ht="15" customHeight="1">
      <c r="B74" s="47"/>
      <c r="C74" s="48"/>
      <c r="D74" s="48"/>
      <c r="E74" s="48"/>
      <c r="F74" s="48"/>
      <c r="G74" s="48"/>
      <c r="H74" s="48"/>
      <c r="I74" s="48"/>
      <c r="J74" s="48"/>
      <c r="K74" s="48"/>
      <c r="L74" s="48"/>
      <c r="M74" s="48"/>
      <c r="N74" s="48"/>
      <c r="O74" s="48"/>
      <c r="P74" s="48"/>
      <c r="Q74" s="48"/>
    </row>
    <row r="75" spans="2:17" s="46" customFormat="1" ht="15" customHeight="1">
      <c r="B75" s="47"/>
      <c r="C75" s="48"/>
      <c r="D75" s="48"/>
      <c r="E75" s="48"/>
      <c r="F75" s="48"/>
      <c r="G75" s="48"/>
      <c r="H75" s="48"/>
      <c r="I75" s="48"/>
      <c r="J75" s="48"/>
      <c r="K75" s="48"/>
      <c r="L75" s="48"/>
      <c r="M75" s="48"/>
      <c r="N75" s="48"/>
      <c r="O75" s="48"/>
      <c r="P75" s="48"/>
      <c r="Q75" s="48"/>
    </row>
    <row r="76" spans="2:17" s="46" customFormat="1" ht="15" customHeight="1">
      <c r="B76" s="47"/>
      <c r="C76" s="48"/>
      <c r="D76" s="48"/>
      <c r="E76" s="48"/>
      <c r="F76" s="48"/>
      <c r="G76" s="48"/>
      <c r="H76" s="48"/>
      <c r="I76" s="48"/>
      <c r="J76" s="48"/>
      <c r="K76" s="48"/>
      <c r="L76" s="48"/>
      <c r="M76" s="48"/>
      <c r="N76" s="48"/>
      <c r="O76" s="48"/>
      <c r="P76" s="48"/>
      <c r="Q76" s="48"/>
    </row>
    <row r="77" spans="2:17" s="46" customFormat="1" ht="15" customHeight="1">
      <c r="B77" s="47"/>
      <c r="C77" s="48"/>
      <c r="D77" s="48"/>
      <c r="E77" s="48"/>
      <c r="F77" s="48"/>
      <c r="G77" s="48"/>
      <c r="H77" s="48"/>
      <c r="I77" s="48"/>
      <c r="J77" s="48"/>
      <c r="K77" s="48"/>
      <c r="L77" s="48"/>
      <c r="M77" s="48"/>
      <c r="N77" s="48"/>
      <c r="O77" s="48"/>
      <c r="P77" s="48"/>
      <c r="Q77" s="48"/>
    </row>
    <row r="78" spans="2:17" s="46" customFormat="1" ht="15" customHeight="1">
      <c r="B78" s="47"/>
      <c r="C78" s="48"/>
      <c r="D78" s="48"/>
      <c r="E78" s="48"/>
      <c r="F78" s="48"/>
      <c r="G78" s="48"/>
      <c r="H78" s="48"/>
      <c r="I78" s="48"/>
      <c r="J78" s="48"/>
      <c r="K78" s="48"/>
      <c r="L78" s="48"/>
      <c r="M78" s="48"/>
      <c r="N78" s="48"/>
      <c r="O78" s="48"/>
      <c r="P78" s="48"/>
      <c r="Q78" s="48"/>
    </row>
    <row r="79" spans="2:17" s="46" customFormat="1" ht="15" customHeight="1">
      <c r="B79" s="47"/>
      <c r="C79" s="48"/>
      <c r="D79" s="48"/>
      <c r="E79" s="48"/>
      <c r="F79" s="48"/>
      <c r="G79" s="48"/>
      <c r="H79" s="48"/>
      <c r="I79" s="48"/>
      <c r="J79" s="48"/>
      <c r="K79" s="48"/>
      <c r="L79" s="48"/>
      <c r="M79" s="48"/>
      <c r="N79" s="48"/>
      <c r="O79" s="48"/>
      <c r="P79" s="48"/>
      <c r="Q79" s="48"/>
    </row>
    <row r="80" spans="2:17" s="46" customFormat="1" ht="15" customHeight="1">
      <c r="B80" s="47"/>
      <c r="C80" s="48"/>
      <c r="D80" s="48"/>
      <c r="E80" s="48"/>
      <c r="F80" s="48"/>
      <c r="G80" s="48"/>
      <c r="H80" s="48"/>
      <c r="I80" s="48"/>
      <c r="J80" s="48"/>
      <c r="K80" s="48"/>
      <c r="L80" s="48"/>
      <c r="M80" s="48"/>
      <c r="N80" s="48"/>
      <c r="O80" s="48"/>
      <c r="P80" s="48"/>
      <c r="Q80" s="48"/>
    </row>
    <row r="81" spans="2:17" s="46" customFormat="1" ht="15" customHeight="1">
      <c r="B81" s="47"/>
      <c r="C81" s="48"/>
      <c r="D81" s="48"/>
      <c r="E81" s="48"/>
      <c r="F81" s="48"/>
      <c r="G81" s="48"/>
      <c r="H81" s="48"/>
      <c r="I81" s="48"/>
      <c r="J81" s="48"/>
      <c r="K81" s="48"/>
      <c r="L81" s="48"/>
      <c r="M81" s="48"/>
      <c r="N81" s="48"/>
      <c r="O81" s="48"/>
      <c r="P81" s="48"/>
      <c r="Q81" s="48"/>
    </row>
    <row r="82" spans="2:17" s="46" customFormat="1" ht="15" customHeight="1">
      <c r="B82" s="47"/>
      <c r="C82" s="48"/>
      <c r="D82" s="48"/>
      <c r="E82" s="48"/>
      <c r="F82" s="48"/>
      <c r="G82" s="48"/>
      <c r="H82" s="48"/>
      <c r="I82" s="48"/>
      <c r="J82" s="48"/>
      <c r="K82" s="48"/>
      <c r="L82" s="48"/>
      <c r="M82" s="48"/>
      <c r="N82" s="48"/>
      <c r="O82" s="48"/>
      <c r="P82" s="48"/>
      <c r="Q82" s="48"/>
    </row>
    <row r="83" spans="2:17" s="46" customFormat="1" ht="15" customHeight="1">
      <c r="B83" s="47"/>
      <c r="C83" s="48"/>
      <c r="D83" s="48"/>
      <c r="E83" s="48"/>
      <c r="F83" s="48"/>
      <c r="G83" s="48"/>
      <c r="H83" s="48"/>
      <c r="I83" s="48"/>
      <c r="J83" s="48"/>
      <c r="K83" s="48"/>
      <c r="L83" s="48"/>
      <c r="M83" s="48"/>
      <c r="N83" s="48"/>
      <c r="O83" s="48"/>
      <c r="P83" s="48"/>
      <c r="Q83" s="48"/>
    </row>
    <row r="84" spans="2:17" s="46" customFormat="1" ht="15" customHeight="1">
      <c r="B84" s="47"/>
      <c r="C84" s="48"/>
      <c r="D84" s="48"/>
      <c r="E84" s="48"/>
      <c r="F84" s="48"/>
      <c r="G84" s="48"/>
      <c r="H84" s="48"/>
      <c r="I84" s="48"/>
      <c r="J84" s="48"/>
      <c r="K84" s="48"/>
      <c r="L84" s="48"/>
      <c r="M84" s="48"/>
      <c r="N84" s="48"/>
      <c r="O84" s="48"/>
      <c r="P84" s="48"/>
      <c r="Q84" s="48"/>
    </row>
    <row r="85" spans="2:17" s="46" customFormat="1" ht="15" customHeight="1">
      <c r="B85" s="47"/>
      <c r="C85" s="48"/>
      <c r="D85" s="48"/>
      <c r="E85" s="48"/>
      <c r="F85" s="48"/>
      <c r="G85" s="48"/>
      <c r="H85" s="48"/>
      <c r="I85" s="48"/>
      <c r="J85" s="48"/>
      <c r="K85" s="48"/>
      <c r="L85" s="48"/>
      <c r="M85" s="48"/>
      <c r="N85" s="48"/>
      <c r="O85" s="48"/>
      <c r="P85" s="48"/>
      <c r="Q85" s="48"/>
    </row>
    <row r="86" spans="2:17" s="46" customFormat="1" ht="15" customHeight="1">
      <c r="B86" s="47"/>
      <c r="C86" s="48"/>
      <c r="D86" s="48"/>
      <c r="E86" s="48"/>
      <c r="F86" s="48"/>
      <c r="G86" s="48"/>
      <c r="H86" s="48"/>
      <c r="I86" s="48"/>
      <c r="J86" s="48"/>
      <c r="K86" s="48"/>
      <c r="L86" s="48"/>
      <c r="M86" s="48"/>
      <c r="N86" s="48"/>
      <c r="O86" s="48"/>
      <c r="P86" s="48"/>
      <c r="Q86" s="48"/>
    </row>
    <row r="87" spans="2:17" s="46" customFormat="1" ht="15" customHeight="1">
      <c r="B87" s="47"/>
      <c r="C87" s="48"/>
      <c r="D87" s="48"/>
      <c r="E87" s="48"/>
      <c r="F87" s="48"/>
      <c r="G87" s="48"/>
      <c r="H87" s="48"/>
      <c r="I87" s="48"/>
      <c r="J87" s="48"/>
      <c r="K87" s="48"/>
      <c r="L87" s="48"/>
      <c r="M87" s="48"/>
      <c r="N87" s="48"/>
      <c r="O87" s="48"/>
      <c r="P87" s="48"/>
      <c r="Q87" s="48"/>
    </row>
    <row r="88" spans="2:17" s="46" customFormat="1" ht="15" customHeight="1">
      <c r="B88" s="47"/>
      <c r="C88" s="48"/>
      <c r="D88" s="48"/>
      <c r="E88" s="48"/>
      <c r="F88" s="48"/>
      <c r="G88" s="48"/>
      <c r="H88" s="48"/>
      <c r="I88" s="48"/>
      <c r="J88" s="48"/>
      <c r="K88" s="48"/>
      <c r="L88" s="48"/>
      <c r="M88" s="48"/>
      <c r="N88" s="48"/>
      <c r="O88" s="48"/>
      <c r="P88" s="48"/>
      <c r="Q88" s="48"/>
    </row>
    <row r="89" spans="2:17" s="46" customFormat="1" ht="15" customHeight="1">
      <c r="B89" s="47"/>
      <c r="C89" s="48"/>
      <c r="D89" s="48"/>
      <c r="E89" s="48"/>
      <c r="F89" s="48"/>
      <c r="G89" s="48"/>
      <c r="H89" s="48"/>
      <c r="I89" s="48"/>
      <c r="J89" s="48"/>
      <c r="K89" s="48"/>
      <c r="L89" s="48"/>
      <c r="M89" s="48"/>
      <c r="N89" s="48"/>
      <c r="O89" s="48"/>
      <c r="P89" s="48"/>
      <c r="Q89" s="48"/>
    </row>
    <row r="90" spans="2:17" s="46" customFormat="1" ht="15" customHeight="1">
      <c r="B90" s="47"/>
      <c r="C90" s="48"/>
      <c r="D90" s="48"/>
      <c r="E90" s="48"/>
      <c r="F90" s="48"/>
      <c r="G90" s="48"/>
      <c r="H90" s="48"/>
      <c r="I90" s="48"/>
      <c r="J90" s="48"/>
      <c r="K90" s="48"/>
      <c r="L90" s="48"/>
      <c r="M90" s="48"/>
      <c r="N90" s="48"/>
      <c r="O90" s="48"/>
      <c r="P90" s="48"/>
      <c r="Q90" s="48"/>
    </row>
    <row r="91" spans="2:17" s="46" customFormat="1" ht="15" customHeight="1">
      <c r="B91" s="47"/>
      <c r="C91" s="48"/>
      <c r="D91" s="48"/>
      <c r="E91" s="48"/>
      <c r="F91" s="48"/>
      <c r="G91" s="48"/>
      <c r="H91" s="48"/>
      <c r="I91" s="48"/>
      <c r="J91" s="48"/>
      <c r="K91" s="48"/>
      <c r="L91" s="48"/>
      <c r="M91" s="48"/>
      <c r="N91" s="48"/>
      <c r="O91" s="48"/>
      <c r="P91" s="48"/>
      <c r="Q91" s="48"/>
    </row>
    <row r="92" spans="2:17" s="46" customFormat="1" ht="15" customHeight="1">
      <c r="B92" s="47"/>
      <c r="C92" s="48"/>
      <c r="D92" s="48"/>
      <c r="E92" s="48"/>
      <c r="F92" s="48"/>
      <c r="G92" s="48"/>
      <c r="H92" s="48"/>
      <c r="I92" s="48"/>
      <c r="J92" s="48"/>
      <c r="K92" s="48"/>
      <c r="L92" s="48"/>
      <c r="M92" s="48"/>
      <c r="N92" s="48"/>
      <c r="O92" s="48"/>
      <c r="P92" s="48"/>
      <c r="Q92" s="48"/>
    </row>
    <row r="93" spans="2:17" s="46" customFormat="1" ht="15" customHeight="1">
      <c r="B93" s="47"/>
      <c r="C93" s="48"/>
      <c r="D93" s="48"/>
      <c r="E93" s="48"/>
      <c r="F93" s="48"/>
      <c r="G93" s="48"/>
      <c r="H93" s="48"/>
      <c r="I93" s="48"/>
      <c r="J93" s="48"/>
      <c r="K93" s="48"/>
      <c r="L93" s="48"/>
      <c r="M93" s="48"/>
      <c r="N93" s="48"/>
      <c r="O93" s="48"/>
      <c r="P93" s="48"/>
      <c r="Q93" s="48"/>
    </row>
    <row r="94" spans="2:17" s="46" customFormat="1" ht="15" customHeight="1">
      <c r="B94" s="47"/>
      <c r="C94" s="48"/>
      <c r="D94" s="48"/>
      <c r="E94" s="48"/>
      <c r="F94" s="48"/>
      <c r="G94" s="48"/>
      <c r="H94" s="48"/>
      <c r="I94" s="48"/>
      <c r="J94" s="48"/>
      <c r="K94" s="48"/>
      <c r="L94" s="48"/>
      <c r="M94" s="48"/>
      <c r="N94" s="48"/>
      <c r="O94" s="48"/>
      <c r="P94" s="48"/>
      <c r="Q94" s="48"/>
    </row>
    <row r="95" spans="2:17" s="46" customFormat="1" ht="15" customHeight="1">
      <c r="B95" s="47"/>
      <c r="C95" s="48"/>
      <c r="D95" s="48"/>
      <c r="E95" s="48"/>
      <c r="F95" s="48"/>
      <c r="G95" s="48"/>
      <c r="H95" s="48"/>
      <c r="I95" s="48"/>
      <c r="J95" s="48"/>
      <c r="K95" s="48"/>
      <c r="L95" s="48"/>
      <c r="M95" s="48"/>
      <c r="N95" s="48"/>
      <c r="O95" s="48"/>
      <c r="P95" s="48"/>
      <c r="Q95" s="48"/>
    </row>
    <row r="96" spans="2:17" s="46" customFormat="1" ht="15" customHeight="1">
      <c r="B96" s="47"/>
      <c r="C96" s="48"/>
      <c r="D96" s="48"/>
      <c r="E96" s="48"/>
      <c r="F96" s="48"/>
      <c r="G96" s="48"/>
      <c r="H96" s="48"/>
      <c r="I96" s="48"/>
      <c r="J96" s="48"/>
      <c r="K96" s="48"/>
      <c r="L96" s="48"/>
      <c r="M96" s="48"/>
      <c r="N96" s="48"/>
      <c r="O96" s="48"/>
      <c r="P96" s="48"/>
      <c r="Q96" s="48"/>
    </row>
    <row r="97" spans="2:17" s="46" customFormat="1" ht="15" customHeight="1">
      <c r="B97" s="47"/>
      <c r="C97" s="48"/>
      <c r="D97" s="48"/>
      <c r="E97" s="48"/>
      <c r="F97" s="48"/>
      <c r="G97" s="48"/>
      <c r="H97" s="48"/>
      <c r="I97" s="48"/>
      <c r="J97" s="48"/>
      <c r="K97" s="48"/>
      <c r="L97" s="48"/>
      <c r="M97" s="48"/>
      <c r="N97" s="48"/>
      <c r="O97" s="48"/>
      <c r="P97" s="48"/>
      <c r="Q97" s="48"/>
    </row>
    <row r="98" spans="2:17" s="46" customFormat="1" ht="15" customHeight="1">
      <c r="B98" s="47"/>
      <c r="C98" s="48"/>
      <c r="D98" s="48"/>
      <c r="E98" s="48"/>
      <c r="F98" s="48"/>
      <c r="G98" s="48"/>
      <c r="H98" s="48"/>
      <c r="I98" s="48"/>
      <c r="J98" s="48"/>
      <c r="K98" s="48"/>
      <c r="L98" s="48"/>
      <c r="M98" s="48"/>
      <c r="N98" s="48"/>
      <c r="O98" s="48"/>
      <c r="P98" s="48"/>
      <c r="Q98" s="48"/>
    </row>
    <row r="99" spans="2:17" s="46" customFormat="1" ht="15" customHeight="1">
      <c r="B99" s="47"/>
      <c r="C99" s="48"/>
      <c r="D99" s="48"/>
      <c r="E99" s="48"/>
      <c r="F99" s="48"/>
      <c r="G99" s="48"/>
      <c r="H99" s="48"/>
      <c r="I99" s="48"/>
      <c r="J99" s="48"/>
      <c r="K99" s="48"/>
      <c r="L99" s="48"/>
      <c r="M99" s="48"/>
      <c r="N99" s="48"/>
      <c r="O99" s="48"/>
      <c r="P99" s="48"/>
      <c r="Q99" s="48"/>
    </row>
    <row r="100" spans="2:17" s="46" customFormat="1" ht="15" customHeight="1">
      <c r="B100" s="47"/>
      <c r="C100" s="48"/>
      <c r="D100" s="48"/>
      <c r="E100" s="48"/>
      <c r="F100" s="48"/>
      <c r="G100" s="48"/>
      <c r="H100" s="48"/>
      <c r="I100" s="48"/>
      <c r="J100" s="48"/>
      <c r="K100" s="48"/>
      <c r="L100" s="48"/>
      <c r="M100" s="48"/>
      <c r="N100" s="48"/>
      <c r="O100" s="48"/>
      <c r="P100" s="48"/>
      <c r="Q100" s="48"/>
    </row>
    <row r="101" spans="2:17" s="46" customFormat="1" ht="15" customHeight="1">
      <c r="B101" s="47"/>
      <c r="C101" s="48"/>
      <c r="D101" s="48"/>
      <c r="E101" s="48"/>
      <c r="F101" s="48"/>
      <c r="G101" s="48"/>
      <c r="H101" s="48"/>
      <c r="I101" s="48"/>
      <c r="J101" s="48"/>
      <c r="K101" s="48"/>
      <c r="L101" s="48"/>
      <c r="M101" s="48"/>
      <c r="N101" s="48"/>
      <c r="O101" s="48"/>
      <c r="P101" s="48"/>
      <c r="Q101" s="48"/>
    </row>
    <row r="102" spans="2:17" s="46" customFormat="1" ht="15" customHeight="1">
      <c r="B102" s="47"/>
      <c r="C102" s="48"/>
      <c r="D102" s="48"/>
      <c r="E102" s="48"/>
      <c r="F102" s="48"/>
      <c r="G102" s="48"/>
      <c r="H102" s="48"/>
      <c r="I102" s="48"/>
      <c r="J102" s="48"/>
      <c r="K102" s="48"/>
      <c r="L102" s="48"/>
      <c r="M102" s="48"/>
      <c r="N102" s="48"/>
      <c r="O102" s="48"/>
      <c r="P102" s="48"/>
      <c r="Q102" s="48"/>
    </row>
    <row r="103" spans="2:17" s="46" customFormat="1" ht="15" customHeight="1">
      <c r="B103" s="47"/>
      <c r="C103" s="48"/>
      <c r="D103" s="48"/>
      <c r="E103" s="48"/>
      <c r="F103" s="48"/>
      <c r="G103" s="48"/>
      <c r="H103" s="48"/>
      <c r="I103" s="48"/>
      <c r="J103" s="48"/>
      <c r="K103" s="48"/>
      <c r="L103" s="48"/>
      <c r="M103" s="48"/>
      <c r="N103" s="48"/>
      <c r="O103" s="48"/>
      <c r="P103" s="48"/>
      <c r="Q103" s="48"/>
    </row>
    <row r="104" spans="2:17" s="46" customFormat="1" ht="15" customHeight="1">
      <c r="B104" s="47"/>
      <c r="C104" s="48"/>
      <c r="D104" s="48"/>
      <c r="E104" s="48"/>
      <c r="F104" s="48"/>
      <c r="G104" s="48"/>
      <c r="H104" s="48"/>
      <c r="I104" s="48"/>
      <c r="J104" s="48"/>
      <c r="K104" s="48"/>
      <c r="L104" s="48"/>
      <c r="M104" s="48"/>
      <c r="N104" s="48"/>
      <c r="O104" s="48"/>
      <c r="P104" s="48"/>
      <c r="Q104" s="48"/>
    </row>
    <row r="105" spans="2:17" s="46" customFormat="1" ht="15" customHeight="1">
      <c r="B105" s="47"/>
      <c r="C105" s="48"/>
      <c r="D105" s="48"/>
      <c r="E105" s="48"/>
      <c r="F105" s="48"/>
      <c r="G105" s="48"/>
      <c r="H105" s="48"/>
      <c r="I105" s="48"/>
      <c r="J105" s="48"/>
      <c r="K105" s="48"/>
      <c r="L105" s="48"/>
      <c r="M105" s="48"/>
      <c r="N105" s="48"/>
      <c r="O105" s="48"/>
      <c r="P105" s="48"/>
      <c r="Q105" s="48"/>
    </row>
    <row r="106" spans="2:17" s="46" customFormat="1" ht="15" customHeight="1">
      <c r="B106" s="47"/>
      <c r="C106" s="48"/>
      <c r="D106" s="48"/>
      <c r="E106" s="48"/>
      <c r="F106" s="48"/>
      <c r="G106" s="48"/>
      <c r="H106" s="48"/>
      <c r="I106" s="48"/>
      <c r="J106" s="48"/>
      <c r="K106" s="48"/>
      <c r="L106" s="48"/>
      <c r="M106" s="48"/>
      <c r="N106" s="48"/>
      <c r="O106" s="48"/>
      <c r="P106" s="48"/>
      <c r="Q106" s="48"/>
    </row>
    <row r="107" spans="2:17" s="46" customFormat="1" ht="15" customHeight="1">
      <c r="B107" s="47"/>
      <c r="C107" s="48"/>
      <c r="D107" s="48"/>
      <c r="E107" s="48"/>
      <c r="F107" s="48"/>
      <c r="G107" s="48"/>
      <c r="H107" s="48"/>
      <c r="I107" s="48"/>
      <c r="J107" s="48"/>
      <c r="K107" s="48"/>
      <c r="L107" s="48"/>
      <c r="M107" s="48"/>
      <c r="N107" s="48"/>
      <c r="O107" s="48"/>
      <c r="P107" s="48"/>
      <c r="Q107" s="48"/>
    </row>
    <row r="108" spans="2:17" s="46" customFormat="1" ht="15" customHeight="1">
      <c r="B108" s="47"/>
      <c r="C108" s="48"/>
      <c r="D108" s="48"/>
      <c r="E108" s="48"/>
      <c r="F108" s="48"/>
      <c r="G108" s="48"/>
      <c r="H108" s="48"/>
      <c r="I108" s="48"/>
      <c r="J108" s="48"/>
      <c r="K108" s="48"/>
      <c r="L108" s="48"/>
      <c r="M108" s="48"/>
      <c r="N108" s="48"/>
      <c r="O108" s="48"/>
      <c r="P108" s="48"/>
      <c r="Q108" s="48"/>
    </row>
    <row r="109" spans="2:17" s="46" customFormat="1" ht="15" customHeight="1">
      <c r="B109" s="47"/>
      <c r="C109" s="48"/>
      <c r="D109" s="48"/>
      <c r="E109" s="48"/>
      <c r="F109" s="48"/>
      <c r="G109" s="48"/>
      <c r="H109" s="48"/>
      <c r="I109" s="48"/>
      <c r="J109" s="48"/>
      <c r="K109" s="48"/>
      <c r="L109" s="48"/>
      <c r="M109" s="48"/>
      <c r="N109" s="48"/>
      <c r="O109" s="48"/>
      <c r="P109" s="48"/>
      <c r="Q109" s="48"/>
    </row>
    <row r="110" spans="2:17" s="46" customFormat="1" ht="15" customHeight="1">
      <c r="B110" s="47"/>
      <c r="C110" s="48"/>
      <c r="D110" s="48"/>
      <c r="E110" s="48"/>
      <c r="F110" s="48"/>
      <c r="G110" s="48"/>
      <c r="H110" s="48"/>
      <c r="I110" s="48"/>
      <c r="J110" s="48"/>
      <c r="K110" s="48"/>
      <c r="L110" s="48"/>
      <c r="M110" s="48"/>
      <c r="N110" s="48"/>
      <c r="O110" s="48"/>
      <c r="P110" s="48"/>
      <c r="Q110" s="48"/>
    </row>
    <row r="111" spans="2:17" s="46" customFormat="1" ht="15" customHeight="1">
      <c r="B111" s="47"/>
      <c r="C111" s="48"/>
      <c r="D111" s="48"/>
      <c r="E111" s="48"/>
      <c r="F111" s="48"/>
      <c r="G111" s="48"/>
      <c r="H111" s="48"/>
      <c r="I111" s="48"/>
      <c r="J111" s="48"/>
      <c r="K111" s="48"/>
      <c r="L111" s="48"/>
      <c r="M111" s="48"/>
      <c r="N111" s="48"/>
      <c r="O111" s="48"/>
      <c r="P111" s="48"/>
      <c r="Q111" s="48"/>
    </row>
    <row r="112" spans="2:17" s="46" customFormat="1" ht="15" customHeight="1">
      <c r="B112" s="47"/>
      <c r="C112" s="48"/>
      <c r="D112" s="48"/>
      <c r="E112" s="48"/>
      <c r="F112" s="48"/>
      <c r="G112" s="48"/>
      <c r="H112" s="48"/>
      <c r="I112" s="48"/>
      <c r="J112" s="48"/>
      <c r="K112" s="48"/>
      <c r="L112" s="48"/>
      <c r="M112" s="48"/>
      <c r="N112" s="48"/>
      <c r="O112" s="48"/>
      <c r="P112" s="48"/>
      <c r="Q112" s="48"/>
    </row>
    <row r="113" spans="2:17" s="46" customFormat="1" ht="15" customHeight="1">
      <c r="B113" s="47"/>
      <c r="C113" s="48"/>
      <c r="D113" s="48"/>
      <c r="E113" s="48"/>
      <c r="F113" s="48"/>
      <c r="G113" s="48"/>
      <c r="H113" s="48"/>
      <c r="I113" s="48"/>
      <c r="J113" s="48"/>
      <c r="K113" s="48"/>
      <c r="L113" s="48"/>
      <c r="M113" s="48"/>
      <c r="N113" s="48"/>
      <c r="O113" s="48"/>
      <c r="P113" s="48"/>
      <c r="Q113" s="48"/>
    </row>
    <row r="114" spans="2:17" s="46" customFormat="1" ht="15" customHeight="1">
      <c r="B114" s="47"/>
      <c r="C114" s="48"/>
      <c r="D114" s="48"/>
      <c r="E114" s="48"/>
      <c r="F114" s="48"/>
      <c r="G114" s="48"/>
      <c r="H114" s="48"/>
      <c r="I114" s="48"/>
      <c r="J114" s="48"/>
      <c r="K114" s="48"/>
      <c r="L114" s="48"/>
      <c r="M114" s="48"/>
      <c r="N114" s="48"/>
      <c r="O114" s="48"/>
      <c r="P114" s="48"/>
      <c r="Q114" s="48"/>
    </row>
    <row r="115" spans="2:17" s="46" customFormat="1" ht="15" customHeight="1">
      <c r="B115" s="47"/>
      <c r="C115" s="48"/>
      <c r="D115" s="48"/>
      <c r="E115" s="48"/>
      <c r="F115" s="48"/>
      <c r="G115" s="48"/>
      <c r="H115" s="48"/>
      <c r="I115" s="48"/>
      <c r="J115" s="48"/>
      <c r="K115" s="48"/>
      <c r="L115" s="48"/>
      <c r="M115" s="48"/>
      <c r="N115" s="48"/>
      <c r="O115" s="48"/>
      <c r="P115" s="48"/>
      <c r="Q115" s="48"/>
    </row>
    <row r="116" spans="2:17" s="46" customFormat="1" ht="15" customHeight="1">
      <c r="B116" s="47"/>
      <c r="C116" s="48"/>
      <c r="D116" s="48"/>
      <c r="E116" s="48"/>
      <c r="F116" s="48"/>
      <c r="G116" s="48"/>
      <c r="H116" s="48"/>
      <c r="I116" s="48"/>
      <c r="J116" s="48"/>
      <c r="K116" s="48"/>
      <c r="L116" s="48"/>
      <c r="M116" s="48"/>
      <c r="N116" s="48"/>
      <c r="O116" s="48"/>
      <c r="P116" s="48"/>
      <c r="Q116" s="48"/>
    </row>
    <row r="117" spans="2:17" s="46" customFormat="1" ht="15" customHeight="1">
      <c r="B117" s="47"/>
      <c r="C117" s="48"/>
      <c r="D117" s="48"/>
      <c r="E117" s="48"/>
      <c r="F117" s="48"/>
      <c r="G117" s="48"/>
      <c r="H117" s="48"/>
      <c r="I117" s="48"/>
      <c r="J117" s="48"/>
      <c r="K117" s="48"/>
      <c r="L117" s="48"/>
      <c r="M117" s="48"/>
      <c r="N117" s="48"/>
      <c r="O117" s="48"/>
      <c r="P117" s="48"/>
      <c r="Q117" s="48"/>
    </row>
    <row r="118" spans="2:17" s="46" customFormat="1" ht="15" customHeight="1">
      <c r="B118" s="47"/>
      <c r="C118" s="48"/>
      <c r="D118" s="48"/>
      <c r="E118" s="48"/>
      <c r="F118" s="48"/>
      <c r="G118" s="48"/>
      <c r="H118" s="48"/>
      <c r="I118" s="48"/>
      <c r="J118" s="48"/>
      <c r="K118" s="48"/>
      <c r="L118" s="48"/>
      <c r="M118" s="48"/>
      <c r="N118" s="48"/>
      <c r="O118" s="48"/>
      <c r="P118" s="48"/>
      <c r="Q118" s="48"/>
    </row>
    <row r="119" spans="2:17" s="46" customFormat="1" ht="15" customHeight="1">
      <c r="B119" s="47"/>
      <c r="C119" s="48"/>
      <c r="D119" s="48"/>
      <c r="E119" s="48"/>
      <c r="F119" s="48"/>
      <c r="G119" s="48"/>
      <c r="H119" s="48"/>
      <c r="I119" s="48"/>
      <c r="J119" s="48"/>
      <c r="K119" s="48"/>
      <c r="L119" s="48"/>
      <c r="M119" s="48"/>
      <c r="N119" s="48"/>
      <c r="O119" s="48"/>
      <c r="P119" s="48"/>
      <c r="Q119" s="48"/>
    </row>
    <row r="120" spans="2:17" s="46" customFormat="1" ht="15" customHeight="1">
      <c r="B120" s="47"/>
      <c r="C120" s="48"/>
      <c r="D120" s="48"/>
      <c r="E120" s="48"/>
      <c r="F120" s="48"/>
      <c r="G120" s="48"/>
      <c r="H120" s="48"/>
      <c r="I120" s="48"/>
      <c r="J120" s="48"/>
      <c r="K120" s="48"/>
      <c r="L120" s="48"/>
      <c r="M120" s="48"/>
      <c r="N120" s="48"/>
      <c r="O120" s="48"/>
      <c r="P120" s="48"/>
      <c r="Q120" s="48"/>
    </row>
    <row r="121" spans="2:17" s="46" customFormat="1" ht="15" customHeight="1">
      <c r="B121" s="47"/>
      <c r="C121" s="48"/>
      <c r="D121" s="48"/>
      <c r="E121" s="48"/>
      <c r="F121" s="48"/>
      <c r="G121" s="48"/>
      <c r="H121" s="48"/>
      <c r="I121" s="48"/>
      <c r="J121" s="48"/>
      <c r="K121" s="48"/>
      <c r="L121" s="48"/>
      <c r="M121" s="48"/>
      <c r="N121" s="48"/>
      <c r="O121" s="48"/>
      <c r="P121" s="48"/>
      <c r="Q121" s="48"/>
    </row>
    <row r="122" spans="2:17" s="46" customFormat="1" ht="15" customHeight="1">
      <c r="B122" s="47"/>
      <c r="C122" s="48"/>
      <c r="D122" s="48"/>
      <c r="E122" s="48"/>
      <c r="F122" s="48"/>
      <c r="G122" s="48"/>
      <c r="H122" s="48"/>
      <c r="I122" s="48"/>
      <c r="J122" s="48"/>
      <c r="K122" s="48"/>
      <c r="L122" s="48"/>
      <c r="M122" s="48"/>
      <c r="N122" s="48"/>
      <c r="O122" s="48"/>
      <c r="P122" s="48"/>
      <c r="Q122" s="48"/>
    </row>
    <row r="123" spans="2:17" s="46" customFormat="1" ht="15" customHeight="1">
      <c r="B123" s="47"/>
      <c r="C123" s="48"/>
      <c r="D123" s="48"/>
      <c r="E123" s="48"/>
      <c r="F123" s="48"/>
      <c r="G123" s="48"/>
      <c r="H123" s="48"/>
      <c r="I123" s="48"/>
      <c r="J123" s="48"/>
      <c r="K123" s="48"/>
      <c r="L123" s="48"/>
      <c r="M123" s="48"/>
      <c r="N123" s="48"/>
      <c r="O123" s="48"/>
      <c r="P123" s="48"/>
      <c r="Q123" s="48"/>
    </row>
    <row r="124" spans="2:17" s="46" customFormat="1" ht="15" customHeight="1">
      <c r="B124" s="47"/>
      <c r="C124" s="48"/>
      <c r="D124" s="48"/>
      <c r="E124" s="48"/>
      <c r="F124" s="48"/>
      <c r="G124" s="48"/>
      <c r="H124" s="48"/>
      <c r="I124" s="48"/>
      <c r="J124" s="48"/>
      <c r="K124" s="48"/>
      <c r="L124" s="48"/>
      <c r="M124" s="48"/>
      <c r="N124" s="48"/>
      <c r="O124" s="48"/>
      <c r="P124" s="48"/>
      <c r="Q124" s="48"/>
    </row>
    <row r="125" spans="2:17" s="46" customFormat="1" ht="15" customHeight="1">
      <c r="B125" s="47"/>
      <c r="C125" s="48"/>
      <c r="D125" s="48"/>
      <c r="E125" s="48"/>
      <c r="F125" s="48"/>
      <c r="G125" s="48"/>
      <c r="H125" s="48"/>
      <c r="I125" s="48"/>
      <c r="J125" s="48"/>
      <c r="K125" s="48"/>
      <c r="L125" s="48"/>
      <c r="M125" s="48"/>
      <c r="N125" s="48"/>
      <c r="O125" s="48"/>
      <c r="P125" s="48"/>
      <c r="Q125" s="48"/>
    </row>
    <row r="126" spans="2:17" s="46" customFormat="1" ht="15" customHeight="1">
      <c r="B126" s="47"/>
      <c r="C126" s="48"/>
      <c r="D126" s="48"/>
      <c r="E126" s="48"/>
      <c r="F126" s="48"/>
      <c r="G126" s="48"/>
      <c r="H126" s="48"/>
      <c r="I126" s="48"/>
      <c r="J126" s="48"/>
      <c r="K126" s="48"/>
      <c r="L126" s="48"/>
      <c r="M126" s="48"/>
      <c r="N126" s="48"/>
      <c r="O126" s="48"/>
      <c r="P126" s="48"/>
      <c r="Q126" s="48"/>
    </row>
    <row r="127" spans="2:17" s="46" customFormat="1" ht="15" customHeight="1">
      <c r="B127" s="47"/>
      <c r="C127" s="48"/>
      <c r="D127" s="48"/>
      <c r="E127" s="48"/>
      <c r="F127" s="48"/>
      <c r="G127" s="48"/>
      <c r="H127" s="48"/>
      <c r="I127" s="48"/>
      <c r="J127" s="48"/>
      <c r="K127" s="48"/>
      <c r="L127" s="48"/>
      <c r="M127" s="48"/>
      <c r="N127" s="48"/>
      <c r="O127" s="48"/>
      <c r="P127" s="48"/>
      <c r="Q127" s="48"/>
    </row>
    <row r="128" spans="2:17" s="46" customFormat="1" ht="15" customHeight="1">
      <c r="B128" s="47"/>
      <c r="C128" s="48"/>
      <c r="D128" s="48"/>
      <c r="E128" s="48"/>
      <c r="F128" s="48"/>
      <c r="G128" s="48"/>
      <c r="H128" s="48"/>
      <c r="I128" s="48"/>
      <c r="J128" s="48"/>
      <c r="K128" s="48"/>
      <c r="L128" s="48"/>
      <c r="M128" s="48"/>
      <c r="N128" s="48"/>
      <c r="O128" s="48"/>
      <c r="P128" s="48"/>
      <c r="Q128" s="48"/>
    </row>
    <row r="129" spans="2:17" s="46" customFormat="1" ht="15" customHeight="1">
      <c r="B129" s="47"/>
      <c r="C129" s="48"/>
      <c r="D129" s="48"/>
      <c r="E129" s="48"/>
      <c r="F129" s="48"/>
      <c r="G129" s="48"/>
      <c r="H129" s="48"/>
      <c r="I129" s="48"/>
      <c r="J129" s="48"/>
      <c r="K129" s="48"/>
      <c r="L129" s="48"/>
      <c r="M129" s="48"/>
      <c r="N129" s="48"/>
      <c r="O129" s="48"/>
      <c r="P129" s="48"/>
      <c r="Q129" s="48"/>
    </row>
    <row r="130" spans="2:17" s="46" customFormat="1" ht="15" customHeight="1">
      <c r="B130" s="47"/>
      <c r="C130" s="48"/>
      <c r="D130" s="48"/>
      <c r="E130" s="48"/>
      <c r="F130" s="48"/>
      <c r="G130" s="48"/>
      <c r="H130" s="48"/>
      <c r="I130" s="48"/>
      <c r="J130" s="48"/>
      <c r="K130" s="48"/>
      <c r="L130" s="48"/>
      <c r="M130" s="48"/>
      <c r="N130" s="48"/>
      <c r="O130" s="48"/>
      <c r="P130" s="48"/>
      <c r="Q130" s="48"/>
    </row>
    <row r="131" spans="2:17" s="46" customFormat="1" ht="15" customHeight="1">
      <c r="B131" s="47"/>
      <c r="C131" s="48"/>
      <c r="D131" s="48"/>
      <c r="E131" s="48"/>
      <c r="F131" s="48"/>
      <c r="G131" s="48"/>
      <c r="H131" s="48"/>
      <c r="I131" s="48"/>
      <c r="J131" s="48"/>
      <c r="K131" s="48"/>
      <c r="L131" s="48"/>
      <c r="M131" s="48"/>
      <c r="N131" s="48"/>
      <c r="O131" s="48"/>
      <c r="P131" s="48"/>
      <c r="Q131" s="48"/>
    </row>
    <row r="132" spans="2:17" s="46" customFormat="1" ht="15" customHeight="1">
      <c r="B132" s="47"/>
      <c r="C132" s="48"/>
      <c r="D132" s="48"/>
      <c r="E132" s="48"/>
      <c r="F132" s="48"/>
      <c r="G132" s="48"/>
      <c r="H132" s="48"/>
      <c r="I132" s="48"/>
      <c r="J132" s="48"/>
      <c r="K132" s="48"/>
      <c r="L132" s="48"/>
      <c r="M132" s="48"/>
      <c r="N132" s="48"/>
      <c r="O132" s="48"/>
      <c r="P132" s="48"/>
      <c r="Q132" s="48"/>
    </row>
    <row r="133" spans="2:17" s="46" customFormat="1" ht="15" customHeight="1">
      <c r="B133" s="47"/>
      <c r="C133" s="48"/>
      <c r="D133" s="48"/>
      <c r="E133" s="48"/>
      <c r="F133" s="48"/>
      <c r="G133" s="48"/>
      <c r="H133" s="48"/>
      <c r="I133" s="48"/>
      <c r="J133" s="48"/>
      <c r="K133" s="48"/>
      <c r="L133" s="48"/>
      <c r="M133" s="48"/>
      <c r="N133" s="48"/>
      <c r="O133" s="48"/>
      <c r="P133" s="48"/>
      <c r="Q133" s="48"/>
    </row>
    <row r="134" spans="2:17" s="46" customFormat="1" ht="15" customHeight="1">
      <c r="B134" s="47"/>
      <c r="C134" s="48"/>
      <c r="D134" s="48"/>
      <c r="E134" s="48"/>
      <c r="F134" s="48"/>
      <c r="G134" s="48"/>
      <c r="H134" s="48"/>
      <c r="I134" s="48"/>
      <c r="J134" s="48"/>
      <c r="K134" s="48"/>
      <c r="L134" s="48"/>
      <c r="M134" s="48"/>
      <c r="N134" s="48"/>
      <c r="O134" s="48"/>
      <c r="P134" s="48"/>
      <c r="Q134" s="48"/>
    </row>
    <row r="135" spans="2:17" s="46" customFormat="1" ht="15" customHeight="1">
      <c r="B135" s="47"/>
      <c r="C135" s="48"/>
      <c r="D135" s="48"/>
      <c r="E135" s="48"/>
      <c r="F135" s="48"/>
      <c r="G135" s="48"/>
      <c r="H135" s="48"/>
      <c r="I135" s="48"/>
      <c r="J135" s="48"/>
      <c r="K135" s="48"/>
      <c r="L135" s="48"/>
      <c r="M135" s="48"/>
      <c r="N135" s="48"/>
      <c r="O135" s="48"/>
      <c r="P135" s="48"/>
      <c r="Q135" s="48"/>
    </row>
    <row r="136" spans="2:17" s="46" customFormat="1" ht="15" customHeight="1">
      <c r="B136" s="47"/>
      <c r="C136" s="48"/>
      <c r="D136" s="48"/>
      <c r="E136" s="48"/>
      <c r="F136" s="48"/>
      <c r="G136" s="48"/>
      <c r="H136" s="48"/>
      <c r="I136" s="48"/>
      <c r="J136" s="48"/>
      <c r="K136" s="48"/>
      <c r="L136" s="48"/>
      <c r="M136" s="48"/>
      <c r="N136" s="48"/>
      <c r="O136" s="48"/>
      <c r="P136" s="48"/>
      <c r="Q136" s="48"/>
    </row>
    <row r="137" spans="2:17" s="46" customFormat="1" ht="15" customHeight="1">
      <c r="B137" s="47"/>
      <c r="C137" s="48"/>
      <c r="D137" s="48"/>
      <c r="E137" s="48"/>
      <c r="F137" s="48"/>
      <c r="G137" s="48"/>
      <c r="H137" s="48"/>
      <c r="I137" s="48"/>
      <c r="J137" s="48"/>
      <c r="K137" s="48"/>
      <c r="L137" s="48"/>
      <c r="M137" s="48"/>
      <c r="N137" s="48"/>
      <c r="O137" s="48"/>
      <c r="P137" s="48"/>
      <c r="Q137" s="48"/>
    </row>
    <row r="138" spans="2:17" s="46" customFormat="1" ht="15" customHeight="1">
      <c r="B138" s="47"/>
      <c r="C138" s="48"/>
      <c r="D138" s="48"/>
      <c r="E138" s="48"/>
      <c r="F138" s="48"/>
      <c r="G138" s="48"/>
      <c r="H138" s="48"/>
      <c r="I138" s="48"/>
      <c r="J138" s="48"/>
      <c r="K138" s="48"/>
      <c r="L138" s="48"/>
      <c r="M138" s="48"/>
      <c r="N138" s="48"/>
      <c r="O138" s="48"/>
      <c r="P138" s="48"/>
      <c r="Q138" s="48"/>
    </row>
    <row r="139" spans="2:17" s="46" customFormat="1" ht="15" customHeight="1">
      <c r="B139" s="47"/>
      <c r="C139" s="48"/>
      <c r="D139" s="48"/>
      <c r="E139" s="48"/>
      <c r="F139" s="48"/>
      <c r="G139" s="48"/>
      <c r="H139" s="48"/>
      <c r="I139" s="48"/>
      <c r="J139" s="48"/>
      <c r="K139" s="48"/>
      <c r="L139" s="48"/>
      <c r="M139" s="48"/>
      <c r="N139" s="48"/>
      <c r="O139" s="48"/>
      <c r="P139" s="48"/>
      <c r="Q139" s="48"/>
    </row>
    <row r="140" spans="2:17" s="46" customFormat="1" ht="15" customHeight="1">
      <c r="B140" s="47"/>
      <c r="C140" s="48"/>
      <c r="D140" s="48"/>
      <c r="E140" s="48"/>
      <c r="F140" s="48"/>
      <c r="G140" s="48"/>
      <c r="H140" s="48"/>
      <c r="I140" s="48"/>
      <c r="J140" s="48"/>
      <c r="K140" s="48"/>
      <c r="L140" s="48"/>
      <c r="M140" s="48"/>
      <c r="N140" s="48"/>
      <c r="O140" s="48"/>
      <c r="P140" s="48"/>
      <c r="Q140" s="48"/>
    </row>
    <row r="141" spans="2:17" s="46" customFormat="1" ht="15" customHeight="1">
      <c r="B141" s="47"/>
      <c r="C141" s="48"/>
      <c r="D141" s="48"/>
      <c r="E141" s="48"/>
      <c r="F141" s="48"/>
      <c r="G141" s="48"/>
      <c r="H141" s="48"/>
      <c r="I141" s="48"/>
      <c r="J141" s="48"/>
      <c r="K141" s="48"/>
      <c r="L141" s="48"/>
      <c r="M141" s="48"/>
      <c r="N141" s="48"/>
      <c r="O141" s="48"/>
      <c r="P141" s="48"/>
      <c r="Q141" s="48"/>
    </row>
    <row r="142" spans="2:17" s="46" customFormat="1" ht="15" customHeight="1">
      <c r="B142" s="47"/>
      <c r="C142" s="48"/>
      <c r="D142" s="48"/>
      <c r="E142" s="48"/>
      <c r="F142" s="48"/>
      <c r="G142" s="48"/>
      <c r="H142" s="48"/>
      <c r="I142" s="48"/>
      <c r="J142" s="48"/>
      <c r="K142" s="48"/>
      <c r="L142" s="48"/>
      <c r="M142" s="48"/>
      <c r="N142" s="48"/>
      <c r="O142" s="48"/>
      <c r="P142" s="48"/>
      <c r="Q142" s="48"/>
    </row>
    <row r="143" spans="2:17" s="46" customFormat="1" ht="15" customHeight="1">
      <c r="B143" s="47"/>
      <c r="C143" s="48"/>
      <c r="D143" s="48"/>
      <c r="E143" s="48"/>
      <c r="F143" s="48"/>
      <c r="G143" s="48"/>
      <c r="H143" s="48"/>
      <c r="I143" s="48"/>
      <c r="J143" s="48"/>
      <c r="K143" s="48"/>
      <c r="L143" s="48"/>
      <c r="M143" s="48"/>
      <c r="N143" s="48"/>
      <c r="O143" s="48"/>
      <c r="P143" s="48"/>
      <c r="Q143" s="48"/>
    </row>
    <row r="144" spans="2:17" s="46" customFormat="1" ht="15" customHeight="1">
      <c r="B144" s="47"/>
      <c r="C144" s="48"/>
      <c r="D144" s="48"/>
      <c r="E144" s="48"/>
      <c r="F144" s="48"/>
      <c r="G144" s="48"/>
      <c r="H144" s="48"/>
      <c r="I144" s="48"/>
      <c r="J144" s="48"/>
      <c r="K144" s="48"/>
      <c r="L144" s="48"/>
      <c r="M144" s="48"/>
      <c r="N144" s="48"/>
      <c r="O144" s="48"/>
      <c r="P144" s="48"/>
      <c r="Q144" s="48"/>
    </row>
    <row r="145" spans="2:17" s="46" customFormat="1" ht="15" customHeight="1">
      <c r="B145" s="47"/>
      <c r="C145" s="48"/>
      <c r="D145" s="48"/>
      <c r="E145" s="48"/>
      <c r="F145" s="48"/>
      <c r="G145" s="48"/>
      <c r="H145" s="48"/>
      <c r="I145" s="48"/>
      <c r="J145" s="48"/>
      <c r="K145" s="48"/>
      <c r="L145" s="48"/>
      <c r="M145" s="48"/>
      <c r="N145" s="48"/>
      <c r="O145" s="48"/>
      <c r="P145" s="48"/>
      <c r="Q145" s="48"/>
    </row>
    <row r="146" spans="2:17" s="46" customFormat="1" ht="15" customHeight="1">
      <c r="B146" s="47"/>
      <c r="C146" s="48"/>
      <c r="D146" s="48"/>
      <c r="E146" s="48"/>
      <c r="F146" s="48"/>
      <c r="G146" s="48"/>
      <c r="H146" s="48"/>
      <c r="I146" s="48"/>
      <c r="J146" s="48"/>
      <c r="K146" s="48"/>
      <c r="L146" s="48"/>
      <c r="M146" s="48"/>
      <c r="N146" s="48"/>
      <c r="O146" s="48"/>
      <c r="P146" s="48"/>
      <c r="Q146" s="48"/>
    </row>
    <row r="147" spans="2:17" s="46" customFormat="1" ht="15" customHeight="1">
      <c r="B147" s="47"/>
      <c r="C147" s="48"/>
      <c r="D147" s="48"/>
      <c r="E147" s="48"/>
      <c r="F147" s="48"/>
      <c r="G147" s="48"/>
      <c r="H147" s="48"/>
      <c r="I147" s="48"/>
      <c r="J147" s="48"/>
      <c r="K147" s="48"/>
      <c r="L147" s="48"/>
      <c r="M147" s="48"/>
      <c r="N147" s="48"/>
      <c r="O147" s="48"/>
      <c r="P147" s="48"/>
      <c r="Q147" s="48"/>
    </row>
    <row r="148" spans="2:17" s="46" customFormat="1" ht="15" customHeight="1">
      <c r="B148" s="47"/>
      <c r="C148" s="48"/>
      <c r="D148" s="48"/>
      <c r="E148" s="48"/>
      <c r="F148" s="48"/>
      <c r="G148" s="48"/>
      <c r="H148" s="48"/>
      <c r="I148" s="48"/>
      <c r="J148" s="48"/>
      <c r="K148" s="48"/>
      <c r="L148" s="48"/>
      <c r="M148" s="48"/>
      <c r="N148" s="48"/>
      <c r="O148" s="48"/>
      <c r="P148" s="48"/>
      <c r="Q148" s="48"/>
    </row>
    <row r="149" spans="2:17" s="46" customFormat="1" ht="15" customHeight="1">
      <c r="B149" s="47"/>
      <c r="C149" s="48"/>
      <c r="D149" s="48"/>
      <c r="E149" s="48"/>
      <c r="F149" s="48"/>
      <c r="G149" s="48"/>
      <c r="H149" s="48"/>
      <c r="I149" s="48"/>
      <c r="J149" s="48"/>
      <c r="K149" s="48"/>
      <c r="L149" s="48"/>
      <c r="M149" s="48"/>
      <c r="N149" s="48"/>
      <c r="O149" s="48"/>
      <c r="P149" s="48"/>
      <c r="Q149" s="48"/>
    </row>
    <row r="150" spans="2:17" s="46" customFormat="1" ht="15" customHeight="1">
      <c r="B150" s="47"/>
      <c r="C150" s="48"/>
      <c r="D150" s="48"/>
      <c r="E150" s="48"/>
      <c r="F150" s="48"/>
      <c r="G150" s="48"/>
      <c r="H150" s="48"/>
      <c r="I150" s="48"/>
      <c r="J150" s="48"/>
      <c r="K150" s="48"/>
      <c r="L150" s="48"/>
      <c r="M150" s="48"/>
      <c r="N150" s="48"/>
      <c r="O150" s="48"/>
      <c r="P150" s="48"/>
      <c r="Q150" s="48"/>
    </row>
    <row r="151" spans="2:17" s="46" customFormat="1" ht="15" customHeight="1">
      <c r="B151" s="47"/>
      <c r="C151" s="48"/>
      <c r="D151" s="48"/>
      <c r="E151" s="48"/>
      <c r="F151" s="48"/>
      <c r="G151" s="48"/>
      <c r="H151" s="48"/>
      <c r="I151" s="48"/>
      <c r="J151" s="48"/>
      <c r="K151" s="48"/>
      <c r="L151" s="48"/>
      <c r="M151" s="48"/>
      <c r="N151" s="48"/>
      <c r="O151" s="48"/>
      <c r="P151" s="48"/>
      <c r="Q151" s="48"/>
    </row>
    <row r="152" spans="2:17" s="46" customFormat="1" ht="15" customHeight="1">
      <c r="B152" s="47"/>
      <c r="C152" s="48"/>
      <c r="D152" s="48"/>
      <c r="E152" s="48"/>
      <c r="F152" s="48"/>
      <c r="G152" s="48"/>
      <c r="H152" s="48"/>
      <c r="I152" s="48"/>
      <c r="J152" s="48"/>
      <c r="K152" s="48"/>
      <c r="L152" s="48"/>
      <c r="M152" s="48"/>
      <c r="N152" s="48"/>
      <c r="O152" s="48"/>
      <c r="P152" s="48"/>
      <c r="Q152" s="48"/>
    </row>
    <row r="153" spans="2:17" s="46" customFormat="1" ht="15" customHeight="1">
      <c r="B153" s="47"/>
      <c r="C153" s="48"/>
      <c r="D153" s="48"/>
      <c r="E153" s="48"/>
      <c r="F153" s="48"/>
      <c r="G153" s="48"/>
      <c r="H153" s="48"/>
      <c r="I153" s="48"/>
      <c r="J153" s="48"/>
      <c r="K153" s="48"/>
      <c r="L153" s="48"/>
      <c r="M153" s="48"/>
      <c r="N153" s="48"/>
      <c r="O153" s="48"/>
      <c r="P153" s="48"/>
      <c r="Q153" s="48"/>
    </row>
    <row r="154" spans="2:17" s="46" customFormat="1" ht="15" customHeight="1">
      <c r="B154" s="47"/>
      <c r="C154" s="48"/>
      <c r="D154" s="48"/>
      <c r="E154" s="48"/>
      <c r="F154" s="48"/>
      <c r="G154" s="48"/>
      <c r="H154" s="48"/>
      <c r="I154" s="48"/>
      <c r="J154" s="48"/>
      <c r="K154" s="48"/>
      <c r="L154" s="48"/>
      <c r="M154" s="48"/>
      <c r="N154" s="48"/>
      <c r="O154" s="48"/>
      <c r="P154" s="48"/>
      <c r="Q154" s="48"/>
    </row>
    <row r="155" spans="2:17" s="46" customFormat="1" ht="15" customHeight="1">
      <c r="B155" s="47"/>
      <c r="C155" s="48"/>
      <c r="D155" s="48"/>
      <c r="E155" s="48"/>
      <c r="F155" s="48"/>
      <c r="G155" s="48"/>
      <c r="H155" s="48"/>
      <c r="I155" s="48"/>
      <c r="J155" s="48"/>
      <c r="K155" s="48"/>
      <c r="L155" s="48"/>
      <c r="M155" s="48"/>
      <c r="N155" s="48"/>
      <c r="O155" s="48"/>
      <c r="P155" s="48"/>
      <c r="Q155" s="48"/>
    </row>
    <row r="156" spans="2:17" s="46" customFormat="1" ht="15" customHeight="1">
      <c r="B156" s="47"/>
      <c r="C156" s="48"/>
      <c r="D156" s="48"/>
      <c r="E156" s="48"/>
      <c r="F156" s="48"/>
      <c r="G156" s="48"/>
      <c r="H156" s="48"/>
      <c r="I156" s="48"/>
      <c r="J156" s="48"/>
      <c r="K156" s="48"/>
      <c r="L156" s="48"/>
      <c r="M156" s="48"/>
      <c r="N156" s="48"/>
      <c r="O156" s="48"/>
      <c r="P156" s="48"/>
      <c r="Q156" s="48"/>
    </row>
    <row r="157" spans="2:17" s="46" customFormat="1" ht="15" customHeight="1">
      <c r="B157" s="47"/>
      <c r="C157" s="48"/>
      <c r="D157" s="48"/>
      <c r="E157" s="48"/>
      <c r="F157" s="48"/>
      <c r="G157" s="48"/>
      <c r="H157" s="48"/>
      <c r="I157" s="48"/>
      <c r="J157" s="48"/>
      <c r="K157" s="48"/>
      <c r="L157" s="48"/>
      <c r="M157" s="48"/>
      <c r="N157" s="48"/>
      <c r="O157" s="48"/>
      <c r="P157" s="48"/>
      <c r="Q157" s="48"/>
    </row>
    <row r="158" spans="2:17" s="46" customFormat="1" ht="15" customHeight="1">
      <c r="B158" s="47"/>
      <c r="C158" s="48"/>
      <c r="D158" s="48"/>
      <c r="E158" s="48"/>
      <c r="F158" s="48"/>
      <c r="G158" s="48"/>
      <c r="H158" s="48"/>
      <c r="I158" s="48"/>
      <c r="J158" s="48"/>
      <c r="K158" s="48"/>
      <c r="L158" s="48"/>
      <c r="M158" s="48"/>
      <c r="N158" s="48"/>
      <c r="O158" s="48"/>
      <c r="P158" s="48"/>
      <c r="Q158" s="48"/>
    </row>
    <row r="159" spans="2:17" s="46" customFormat="1" ht="15" customHeight="1">
      <c r="B159" s="47"/>
      <c r="C159" s="48"/>
      <c r="D159" s="48"/>
      <c r="E159" s="48"/>
      <c r="F159" s="48"/>
      <c r="G159" s="48"/>
      <c r="H159" s="48"/>
      <c r="I159" s="48"/>
      <c r="J159" s="48"/>
      <c r="K159" s="48"/>
      <c r="L159" s="48"/>
      <c r="M159" s="48"/>
      <c r="N159" s="48"/>
      <c r="O159" s="48"/>
      <c r="P159" s="48"/>
      <c r="Q159" s="48"/>
    </row>
    <row r="160" spans="2:17" s="46" customFormat="1" ht="15" customHeight="1">
      <c r="B160" s="47"/>
      <c r="C160" s="48"/>
      <c r="D160" s="48"/>
      <c r="E160" s="48"/>
      <c r="F160" s="48"/>
      <c r="G160" s="48"/>
      <c r="H160" s="48"/>
      <c r="I160" s="48"/>
      <c r="J160" s="48"/>
      <c r="K160" s="48"/>
      <c r="L160" s="48"/>
      <c r="M160" s="48"/>
      <c r="N160" s="48"/>
      <c r="O160" s="48"/>
      <c r="P160" s="48"/>
      <c r="Q160" s="48"/>
    </row>
    <row r="161" spans="2:17" s="46" customFormat="1" ht="15" customHeight="1">
      <c r="B161" s="47"/>
      <c r="C161" s="48"/>
      <c r="D161" s="48"/>
      <c r="E161" s="48"/>
      <c r="F161" s="48"/>
      <c r="G161" s="48"/>
      <c r="H161" s="48"/>
      <c r="I161" s="48"/>
      <c r="J161" s="48"/>
      <c r="K161" s="48"/>
      <c r="L161" s="48"/>
      <c r="M161" s="48"/>
      <c r="N161" s="48"/>
      <c r="O161" s="48"/>
      <c r="P161" s="48"/>
      <c r="Q161" s="48"/>
    </row>
    <row r="162" spans="2:17" s="46" customFormat="1" ht="15" customHeight="1">
      <c r="B162" s="47"/>
      <c r="C162" s="48"/>
      <c r="D162" s="48"/>
      <c r="E162" s="48"/>
      <c r="F162" s="48"/>
      <c r="G162" s="48"/>
      <c r="H162" s="48"/>
      <c r="I162" s="48"/>
      <c r="J162" s="48"/>
      <c r="K162" s="48"/>
      <c r="L162" s="48"/>
      <c r="M162" s="48"/>
      <c r="N162" s="48"/>
      <c r="O162" s="48"/>
      <c r="P162" s="48"/>
      <c r="Q162" s="48"/>
    </row>
    <row r="163" spans="2:17" s="46" customFormat="1" ht="15" customHeight="1">
      <c r="B163" s="47"/>
      <c r="C163" s="48"/>
      <c r="D163" s="48"/>
      <c r="E163" s="48"/>
      <c r="F163" s="48"/>
      <c r="G163" s="48"/>
      <c r="H163" s="48"/>
      <c r="I163" s="48"/>
      <c r="J163" s="48"/>
      <c r="K163" s="48"/>
      <c r="L163" s="48"/>
      <c r="M163" s="48"/>
      <c r="N163" s="48"/>
      <c r="O163" s="48"/>
      <c r="P163" s="48"/>
      <c r="Q163" s="48"/>
    </row>
    <row r="164" spans="2:17" s="46" customFormat="1" ht="15" customHeight="1">
      <c r="B164" s="47"/>
      <c r="C164" s="48"/>
      <c r="D164" s="48"/>
      <c r="E164" s="48"/>
      <c r="F164" s="48"/>
      <c r="G164" s="48"/>
      <c r="H164" s="48"/>
      <c r="I164" s="48"/>
      <c r="J164" s="48"/>
      <c r="K164" s="48"/>
      <c r="L164" s="48"/>
      <c r="M164" s="48"/>
      <c r="N164" s="48"/>
      <c r="O164" s="48"/>
      <c r="P164" s="48"/>
      <c r="Q164" s="48"/>
    </row>
    <row r="165" spans="2:17" s="46" customFormat="1" ht="15" customHeight="1">
      <c r="B165" s="47"/>
      <c r="C165" s="48"/>
      <c r="D165" s="48"/>
      <c r="E165" s="48"/>
      <c r="F165" s="48"/>
      <c r="G165" s="48"/>
      <c r="H165" s="48"/>
      <c r="I165" s="48"/>
      <c r="J165" s="48"/>
      <c r="K165" s="48"/>
      <c r="L165" s="48"/>
      <c r="M165" s="48"/>
      <c r="N165" s="48"/>
      <c r="O165" s="48"/>
      <c r="P165" s="48"/>
      <c r="Q165" s="48"/>
    </row>
    <row r="166" spans="2:17" s="46" customFormat="1" ht="15" customHeight="1">
      <c r="B166" s="47"/>
      <c r="C166" s="48"/>
      <c r="D166" s="48"/>
      <c r="E166" s="48"/>
      <c r="F166" s="48"/>
      <c r="G166" s="48"/>
      <c r="H166" s="48"/>
      <c r="I166" s="48"/>
      <c r="J166" s="48"/>
      <c r="K166" s="48"/>
      <c r="L166" s="48"/>
      <c r="M166" s="48"/>
      <c r="N166" s="48"/>
      <c r="O166" s="48"/>
      <c r="P166" s="48"/>
      <c r="Q166" s="48"/>
    </row>
    <row r="167" spans="2:17" s="46" customFormat="1" ht="15" customHeight="1">
      <c r="B167" s="47"/>
      <c r="C167" s="48"/>
      <c r="D167" s="48"/>
      <c r="E167" s="48"/>
      <c r="F167" s="48"/>
      <c r="G167" s="48"/>
      <c r="H167" s="48"/>
      <c r="I167" s="48"/>
      <c r="J167" s="48"/>
      <c r="K167" s="48"/>
      <c r="L167" s="48"/>
      <c r="M167" s="48"/>
      <c r="N167" s="48"/>
      <c r="O167" s="48"/>
      <c r="P167" s="48"/>
      <c r="Q167" s="48"/>
    </row>
    <row r="168" spans="2:17" s="46" customFormat="1" ht="15" customHeight="1">
      <c r="B168" s="47"/>
      <c r="C168" s="48"/>
      <c r="D168" s="48"/>
      <c r="E168" s="48"/>
      <c r="F168" s="48"/>
      <c r="G168" s="48"/>
      <c r="H168" s="48"/>
      <c r="I168" s="48"/>
      <c r="J168" s="48"/>
      <c r="K168" s="48"/>
      <c r="L168" s="48"/>
      <c r="M168" s="48"/>
      <c r="N168" s="48"/>
      <c r="O168" s="48"/>
      <c r="P168" s="48"/>
      <c r="Q168" s="48"/>
    </row>
    <row r="169" spans="2:17" s="46" customFormat="1" ht="15" customHeight="1">
      <c r="B169" s="47"/>
      <c r="C169" s="48"/>
      <c r="D169" s="48"/>
      <c r="E169" s="48"/>
      <c r="F169" s="48"/>
      <c r="G169" s="48"/>
      <c r="H169" s="48"/>
      <c r="I169" s="48"/>
      <c r="J169" s="48"/>
      <c r="K169" s="48"/>
      <c r="L169" s="48"/>
      <c r="M169" s="48"/>
      <c r="N169" s="48"/>
      <c r="O169" s="48"/>
      <c r="P169" s="48"/>
      <c r="Q169" s="48"/>
    </row>
    <row r="170" spans="2:17" s="46" customFormat="1" ht="15" customHeight="1">
      <c r="B170" s="47"/>
      <c r="C170" s="48"/>
      <c r="D170" s="48"/>
      <c r="E170" s="48"/>
      <c r="F170" s="48"/>
      <c r="G170" s="48"/>
      <c r="H170" s="48"/>
      <c r="I170" s="48"/>
      <c r="J170" s="48"/>
      <c r="K170" s="48"/>
      <c r="L170" s="48"/>
      <c r="M170" s="48"/>
      <c r="N170" s="48"/>
      <c r="O170" s="48"/>
      <c r="P170" s="48"/>
      <c r="Q170" s="48"/>
    </row>
    <row r="171" spans="2:17" s="46" customFormat="1" ht="15" customHeight="1">
      <c r="B171" s="47"/>
      <c r="C171" s="48"/>
      <c r="D171" s="48"/>
      <c r="E171" s="48"/>
      <c r="F171" s="48"/>
      <c r="G171" s="48"/>
      <c r="H171" s="48"/>
      <c r="I171" s="48"/>
      <c r="J171" s="48"/>
      <c r="K171" s="48"/>
      <c r="L171" s="48"/>
      <c r="M171" s="48"/>
      <c r="N171" s="48"/>
      <c r="O171" s="48"/>
      <c r="P171" s="48"/>
      <c r="Q171" s="48"/>
    </row>
    <row r="172" spans="2:17" s="46" customFormat="1" ht="15" customHeight="1">
      <c r="B172" s="47"/>
      <c r="C172" s="48"/>
      <c r="D172" s="48"/>
      <c r="E172" s="48"/>
      <c r="F172" s="48"/>
      <c r="G172" s="48"/>
      <c r="H172" s="48"/>
      <c r="I172" s="48"/>
      <c r="J172" s="48"/>
      <c r="K172" s="48"/>
      <c r="L172" s="48"/>
      <c r="M172" s="48"/>
      <c r="N172" s="48"/>
      <c r="O172" s="48"/>
      <c r="P172" s="48"/>
      <c r="Q172" s="48"/>
    </row>
    <row r="173" spans="2:17" s="46" customFormat="1" ht="15" customHeight="1">
      <c r="B173" s="47"/>
      <c r="C173" s="48"/>
      <c r="D173" s="48"/>
      <c r="E173" s="48"/>
      <c r="F173" s="48"/>
      <c r="G173" s="48"/>
      <c r="H173" s="48"/>
      <c r="I173" s="48"/>
      <c r="J173" s="48"/>
      <c r="K173" s="48"/>
      <c r="L173" s="48"/>
      <c r="M173" s="48"/>
      <c r="N173" s="48"/>
      <c r="O173" s="48"/>
      <c r="P173" s="48"/>
      <c r="Q173" s="48"/>
    </row>
    <row r="174" spans="2:17" s="46" customFormat="1" ht="15" customHeight="1">
      <c r="B174" s="47"/>
      <c r="C174" s="48"/>
      <c r="D174" s="48"/>
      <c r="E174" s="48"/>
      <c r="F174" s="48"/>
      <c r="G174" s="48"/>
      <c r="H174" s="48"/>
      <c r="I174" s="48"/>
      <c r="J174" s="48"/>
      <c r="K174" s="48"/>
      <c r="L174" s="48"/>
      <c r="M174" s="48"/>
      <c r="N174" s="48"/>
      <c r="O174" s="48"/>
      <c r="P174" s="48"/>
      <c r="Q174" s="48"/>
    </row>
    <row r="175" spans="2:17" s="46" customFormat="1" ht="15" customHeight="1">
      <c r="B175" s="47"/>
      <c r="C175" s="48"/>
      <c r="D175" s="48"/>
      <c r="E175" s="48"/>
      <c r="F175" s="48"/>
      <c r="G175" s="48"/>
      <c r="H175" s="48"/>
      <c r="I175" s="48"/>
      <c r="J175" s="48"/>
      <c r="K175" s="48"/>
      <c r="L175" s="48"/>
      <c r="M175" s="48"/>
      <c r="N175" s="48"/>
      <c r="O175" s="48"/>
      <c r="P175" s="48"/>
      <c r="Q175" s="48"/>
    </row>
    <row r="176" spans="2:17" s="46" customFormat="1" ht="15" customHeight="1">
      <c r="B176" s="47"/>
      <c r="C176" s="48"/>
      <c r="D176" s="48"/>
      <c r="E176" s="48"/>
      <c r="F176" s="48"/>
      <c r="G176" s="48"/>
      <c r="H176" s="48"/>
      <c r="I176" s="48"/>
      <c r="J176" s="48"/>
      <c r="K176" s="48"/>
      <c r="L176" s="48"/>
      <c r="M176" s="48"/>
      <c r="N176" s="48"/>
      <c r="O176" s="48"/>
      <c r="P176" s="48"/>
      <c r="Q176" s="48"/>
    </row>
    <row r="177" spans="2:17" s="46" customFormat="1" ht="15" customHeight="1">
      <c r="B177" s="47"/>
      <c r="C177" s="48"/>
      <c r="D177" s="48"/>
      <c r="E177" s="48"/>
      <c r="F177" s="48"/>
      <c r="G177" s="48"/>
      <c r="H177" s="48"/>
      <c r="I177" s="48"/>
      <c r="J177" s="48"/>
      <c r="K177" s="48"/>
      <c r="L177" s="48"/>
      <c r="M177" s="48"/>
      <c r="N177" s="48"/>
      <c r="O177" s="48"/>
      <c r="P177" s="48"/>
      <c r="Q177" s="48"/>
    </row>
    <row r="178" spans="2:17" s="46" customFormat="1" ht="15" customHeight="1">
      <c r="B178" s="47"/>
      <c r="C178" s="48"/>
      <c r="D178" s="48"/>
      <c r="E178" s="48"/>
      <c r="F178" s="48"/>
      <c r="G178" s="48"/>
      <c r="H178" s="48"/>
      <c r="I178" s="48"/>
      <c r="J178" s="48"/>
      <c r="K178" s="48"/>
      <c r="L178" s="48"/>
      <c r="M178" s="48"/>
      <c r="N178" s="48"/>
      <c r="O178" s="48"/>
      <c r="P178" s="48"/>
      <c r="Q178" s="48"/>
    </row>
    <row r="179" spans="2:17" s="46" customFormat="1" ht="15" customHeight="1">
      <c r="B179" s="47"/>
      <c r="C179" s="48"/>
      <c r="D179" s="48"/>
      <c r="E179" s="48"/>
      <c r="F179" s="48"/>
      <c r="G179" s="48"/>
      <c r="H179" s="48"/>
      <c r="I179" s="48"/>
      <c r="J179" s="48"/>
      <c r="K179" s="48"/>
      <c r="L179" s="48"/>
      <c r="M179" s="48"/>
      <c r="N179" s="48"/>
      <c r="O179" s="48"/>
      <c r="P179" s="48"/>
      <c r="Q179" s="48"/>
    </row>
    <row r="180" spans="2:17" s="46" customFormat="1" ht="15" customHeight="1">
      <c r="B180" s="47"/>
      <c r="C180" s="48"/>
      <c r="D180" s="48"/>
      <c r="E180" s="48"/>
      <c r="F180" s="48"/>
      <c r="G180" s="48"/>
      <c r="H180" s="48"/>
      <c r="I180" s="48"/>
      <c r="J180" s="48"/>
      <c r="K180" s="48"/>
      <c r="L180" s="48"/>
      <c r="M180" s="48"/>
      <c r="N180" s="48"/>
      <c r="O180" s="48"/>
      <c r="P180" s="48"/>
      <c r="Q180" s="48"/>
    </row>
    <row r="181" spans="2:17" s="46" customFormat="1" ht="15" customHeight="1">
      <c r="B181" s="47"/>
      <c r="C181" s="48"/>
      <c r="D181" s="48"/>
      <c r="E181" s="48"/>
      <c r="F181" s="48"/>
      <c r="G181" s="48"/>
      <c r="H181" s="48"/>
      <c r="I181" s="48"/>
      <c r="J181" s="48"/>
      <c r="K181" s="48"/>
      <c r="L181" s="48"/>
      <c r="M181" s="48"/>
      <c r="N181" s="48"/>
      <c r="O181" s="48"/>
      <c r="P181" s="48"/>
      <c r="Q181" s="48"/>
    </row>
    <row r="182" spans="2:17" s="46" customFormat="1" ht="15" customHeight="1">
      <c r="B182" s="47"/>
      <c r="C182" s="48"/>
      <c r="D182" s="48"/>
      <c r="E182" s="48"/>
      <c r="F182" s="48"/>
      <c r="G182" s="48"/>
      <c r="H182" s="48"/>
      <c r="I182" s="48"/>
      <c r="J182" s="48"/>
      <c r="K182" s="48"/>
      <c r="L182" s="48"/>
      <c r="M182" s="48"/>
      <c r="N182" s="48"/>
      <c r="O182" s="48"/>
      <c r="P182" s="48"/>
      <c r="Q182" s="48"/>
    </row>
    <row r="183" spans="2:17" s="46" customFormat="1" ht="15" customHeight="1">
      <c r="B183" s="47"/>
      <c r="C183" s="48"/>
      <c r="D183" s="48"/>
      <c r="E183" s="48"/>
      <c r="F183" s="48"/>
      <c r="G183" s="48"/>
      <c r="H183" s="48"/>
      <c r="I183" s="48"/>
      <c r="J183" s="48"/>
      <c r="K183" s="48"/>
      <c r="L183" s="48"/>
      <c r="M183" s="48"/>
      <c r="N183" s="48"/>
      <c r="O183" s="48"/>
      <c r="P183" s="48"/>
      <c r="Q183" s="48"/>
    </row>
    <row r="184" spans="2:17" s="46" customFormat="1" ht="15" customHeight="1">
      <c r="B184" s="47"/>
      <c r="C184" s="48"/>
      <c r="D184" s="48"/>
      <c r="E184" s="48"/>
      <c r="F184" s="48"/>
      <c r="G184" s="48"/>
      <c r="H184" s="48"/>
      <c r="I184" s="48"/>
      <c r="J184" s="48"/>
      <c r="K184" s="48"/>
      <c r="L184" s="48"/>
      <c r="M184" s="48"/>
      <c r="N184" s="48"/>
      <c r="O184" s="48"/>
      <c r="P184" s="48"/>
      <c r="Q184" s="48"/>
    </row>
    <row r="185" spans="2:17" s="46" customFormat="1" ht="15" customHeight="1">
      <c r="B185" s="47"/>
      <c r="C185" s="48"/>
      <c r="D185" s="48"/>
      <c r="E185" s="48"/>
      <c r="F185" s="48"/>
      <c r="G185" s="48"/>
      <c r="H185" s="48"/>
      <c r="I185" s="48"/>
      <c r="J185" s="48"/>
      <c r="K185" s="48"/>
      <c r="L185" s="48"/>
      <c r="M185" s="48"/>
      <c r="N185" s="48"/>
      <c r="O185" s="48"/>
      <c r="P185" s="48"/>
      <c r="Q185" s="48"/>
    </row>
    <row r="186" spans="2:17" s="46" customFormat="1" ht="15" customHeight="1">
      <c r="B186" s="47"/>
      <c r="C186" s="48"/>
      <c r="D186" s="48"/>
      <c r="E186" s="48"/>
      <c r="F186" s="48"/>
      <c r="G186" s="48"/>
      <c r="H186" s="48"/>
      <c r="I186" s="48"/>
      <c r="J186" s="48"/>
      <c r="K186" s="48"/>
      <c r="L186" s="48"/>
      <c r="M186" s="48"/>
      <c r="N186" s="48"/>
      <c r="O186" s="48"/>
      <c r="P186" s="48"/>
      <c r="Q186" s="48"/>
    </row>
    <row r="187" spans="2:17" s="46" customFormat="1" ht="15" customHeight="1">
      <c r="B187" s="47"/>
      <c r="C187" s="48"/>
      <c r="D187" s="48"/>
      <c r="E187" s="48"/>
      <c r="F187" s="48"/>
      <c r="G187" s="48"/>
      <c r="H187" s="48"/>
      <c r="I187" s="48"/>
      <c r="J187" s="48"/>
      <c r="K187" s="48"/>
      <c r="L187" s="48"/>
      <c r="M187" s="48"/>
      <c r="N187" s="48"/>
      <c r="O187" s="48"/>
      <c r="P187" s="48"/>
      <c r="Q187" s="48"/>
    </row>
    <row r="188" spans="2:17" s="46" customFormat="1" ht="15" customHeight="1">
      <c r="B188" s="47"/>
      <c r="C188" s="48"/>
      <c r="D188" s="48"/>
      <c r="E188" s="48"/>
      <c r="F188" s="48"/>
      <c r="G188" s="48"/>
      <c r="H188" s="48"/>
      <c r="I188" s="48"/>
      <c r="J188" s="48"/>
      <c r="K188" s="48"/>
      <c r="L188" s="48"/>
      <c r="M188" s="48"/>
      <c r="N188" s="48"/>
      <c r="O188" s="48"/>
      <c r="P188" s="48"/>
      <c r="Q188" s="48"/>
    </row>
    <row r="189" spans="2:17" s="46" customFormat="1" ht="15" customHeight="1">
      <c r="B189" s="47"/>
      <c r="C189" s="48"/>
      <c r="D189" s="48"/>
      <c r="E189" s="48"/>
      <c r="F189" s="48"/>
      <c r="G189" s="48"/>
      <c r="H189" s="48"/>
      <c r="I189" s="48"/>
      <c r="J189" s="48"/>
      <c r="K189" s="48"/>
      <c r="L189" s="48"/>
      <c r="M189" s="48"/>
      <c r="N189" s="48"/>
      <c r="O189" s="48"/>
      <c r="P189" s="48"/>
      <c r="Q189" s="48"/>
    </row>
    <row r="190" spans="2:17" s="46" customFormat="1" ht="15" customHeight="1">
      <c r="B190" s="47"/>
      <c r="C190" s="48"/>
      <c r="D190" s="48"/>
      <c r="E190" s="48"/>
      <c r="F190" s="48"/>
      <c r="G190" s="48"/>
      <c r="H190" s="48"/>
      <c r="I190" s="48"/>
      <c r="J190" s="48"/>
      <c r="K190" s="48"/>
      <c r="L190" s="48"/>
      <c r="M190" s="48"/>
      <c r="N190" s="48"/>
      <c r="O190" s="48"/>
      <c r="P190" s="48"/>
      <c r="Q190" s="48"/>
    </row>
    <row r="191" spans="2:17" s="46" customFormat="1" ht="15" customHeight="1">
      <c r="B191" s="47"/>
      <c r="C191" s="48"/>
      <c r="D191" s="48"/>
      <c r="E191" s="48"/>
      <c r="F191" s="48"/>
      <c r="G191" s="48"/>
      <c r="H191" s="48"/>
      <c r="I191" s="48"/>
      <c r="J191" s="48"/>
      <c r="K191" s="48"/>
      <c r="L191" s="48"/>
      <c r="M191" s="48"/>
      <c r="N191" s="48"/>
      <c r="O191" s="48"/>
      <c r="P191" s="48"/>
      <c r="Q191" s="48"/>
    </row>
    <row r="192" spans="2:17" s="46" customFormat="1" ht="15" customHeight="1">
      <c r="B192" s="47"/>
      <c r="C192" s="48"/>
      <c r="D192" s="48"/>
      <c r="E192" s="48"/>
      <c r="F192" s="48"/>
      <c r="G192" s="48"/>
      <c r="H192" s="48"/>
      <c r="I192" s="48"/>
      <c r="J192" s="48"/>
      <c r="K192" s="48"/>
      <c r="L192" s="48"/>
      <c r="M192" s="48"/>
      <c r="N192" s="48"/>
      <c r="O192" s="48"/>
      <c r="P192" s="48"/>
      <c r="Q192" s="48"/>
    </row>
    <row r="193" spans="2:17" s="46" customFormat="1" ht="15" customHeight="1">
      <c r="B193" s="47"/>
      <c r="C193" s="48"/>
      <c r="D193" s="48"/>
      <c r="E193" s="48"/>
      <c r="F193" s="48"/>
      <c r="G193" s="48"/>
      <c r="H193" s="48"/>
      <c r="I193" s="48"/>
      <c r="J193" s="48"/>
      <c r="K193" s="48"/>
      <c r="L193" s="48"/>
      <c r="M193" s="48"/>
      <c r="N193" s="48"/>
      <c r="O193" s="48"/>
      <c r="P193" s="48"/>
      <c r="Q193" s="48"/>
    </row>
    <row r="194" spans="2:17" s="46" customFormat="1" ht="15" customHeight="1">
      <c r="B194" s="47"/>
      <c r="C194" s="48"/>
      <c r="D194" s="48"/>
      <c r="E194" s="48"/>
      <c r="F194" s="48"/>
      <c r="G194" s="48"/>
      <c r="H194" s="48"/>
      <c r="I194" s="48"/>
      <c r="J194" s="48"/>
      <c r="K194" s="48"/>
      <c r="L194" s="48"/>
      <c r="M194" s="48"/>
      <c r="N194" s="48"/>
      <c r="O194" s="48"/>
      <c r="P194" s="48"/>
      <c r="Q194" s="48"/>
    </row>
    <row r="195" spans="2:17" s="46" customFormat="1" ht="15" customHeight="1">
      <c r="B195" s="47"/>
      <c r="C195" s="48"/>
      <c r="D195" s="48"/>
      <c r="E195" s="48"/>
      <c r="F195" s="48"/>
      <c r="G195" s="48"/>
      <c r="H195" s="48"/>
      <c r="I195" s="48"/>
      <c r="J195" s="48"/>
      <c r="K195" s="48"/>
      <c r="L195" s="48"/>
      <c r="M195" s="48"/>
      <c r="N195" s="48"/>
      <c r="O195" s="48"/>
      <c r="P195" s="48"/>
      <c r="Q195" s="48"/>
    </row>
    <row r="196" spans="2:17" s="46" customFormat="1" ht="15" customHeight="1">
      <c r="B196" s="47"/>
      <c r="C196" s="48"/>
      <c r="D196" s="48"/>
      <c r="E196" s="48"/>
      <c r="F196" s="48"/>
      <c r="G196" s="48"/>
      <c r="H196" s="48"/>
      <c r="I196" s="48"/>
      <c r="J196" s="48"/>
      <c r="K196" s="48"/>
      <c r="L196" s="48"/>
      <c r="M196" s="48"/>
      <c r="N196" s="48"/>
      <c r="O196" s="48"/>
      <c r="P196" s="48"/>
      <c r="Q196" s="48"/>
    </row>
    <row r="197" spans="2:17" s="46" customFormat="1" ht="15" customHeight="1">
      <c r="B197" s="47"/>
      <c r="C197" s="48"/>
      <c r="D197" s="48"/>
      <c r="E197" s="48"/>
      <c r="F197" s="48"/>
      <c r="G197" s="48"/>
      <c r="H197" s="48"/>
      <c r="I197" s="48"/>
      <c r="J197" s="48"/>
      <c r="K197" s="48"/>
      <c r="L197" s="48"/>
      <c r="M197" s="48"/>
      <c r="N197" s="48"/>
      <c r="O197" s="48"/>
      <c r="P197" s="48"/>
      <c r="Q197" s="48"/>
    </row>
    <row r="198" spans="2:17" s="46" customFormat="1" ht="15" customHeight="1">
      <c r="B198" s="47"/>
      <c r="C198" s="48"/>
      <c r="D198" s="48"/>
      <c r="E198" s="48"/>
      <c r="F198" s="48"/>
      <c r="G198" s="48"/>
      <c r="H198" s="48"/>
      <c r="I198" s="48"/>
      <c r="J198" s="48"/>
      <c r="K198" s="48"/>
      <c r="L198" s="48"/>
      <c r="M198" s="48"/>
      <c r="N198" s="48"/>
      <c r="O198" s="48"/>
      <c r="P198" s="48"/>
      <c r="Q198" s="48"/>
    </row>
    <row r="199" spans="2:17" s="46" customFormat="1" ht="15" customHeight="1">
      <c r="B199" s="47"/>
      <c r="C199" s="48"/>
      <c r="D199" s="48"/>
      <c r="E199" s="48"/>
      <c r="F199" s="48"/>
      <c r="G199" s="48"/>
      <c r="H199" s="48"/>
      <c r="I199" s="48"/>
      <c r="J199" s="48"/>
      <c r="K199" s="48"/>
      <c r="L199" s="48"/>
      <c r="M199" s="48"/>
      <c r="N199" s="48"/>
      <c r="O199" s="48"/>
      <c r="P199" s="48"/>
      <c r="Q199" s="48"/>
    </row>
    <row r="200" spans="2:17" s="46" customFormat="1" ht="15" customHeight="1">
      <c r="B200" s="47"/>
      <c r="C200" s="48"/>
      <c r="D200" s="48"/>
      <c r="E200" s="48"/>
      <c r="F200" s="48"/>
      <c r="G200" s="48"/>
      <c r="H200" s="48"/>
      <c r="I200" s="48"/>
      <c r="J200" s="48"/>
      <c r="K200" s="48"/>
      <c r="L200" s="48"/>
      <c r="M200" s="48"/>
      <c r="N200" s="48"/>
      <c r="O200" s="48"/>
      <c r="P200" s="48"/>
      <c r="Q200" s="48"/>
    </row>
    <row r="201" spans="2:17" s="46" customFormat="1" ht="15" customHeight="1">
      <c r="B201" s="47"/>
      <c r="C201" s="48"/>
      <c r="D201" s="48"/>
      <c r="E201" s="48"/>
      <c r="F201" s="48"/>
      <c r="G201" s="48"/>
      <c r="H201" s="48"/>
      <c r="I201" s="48"/>
      <c r="J201" s="48"/>
      <c r="K201" s="48"/>
      <c r="L201" s="48"/>
      <c r="M201" s="48"/>
      <c r="N201" s="48"/>
      <c r="O201" s="48"/>
      <c r="P201" s="48"/>
      <c r="Q201" s="48"/>
    </row>
    <row r="202" spans="2:17" s="46" customFormat="1" ht="15" customHeight="1">
      <c r="B202" s="47"/>
      <c r="C202" s="48"/>
      <c r="D202" s="48"/>
      <c r="E202" s="48"/>
      <c r="F202" s="48"/>
      <c r="G202" s="48"/>
      <c r="H202" s="48"/>
      <c r="I202" s="48"/>
      <c r="J202" s="48"/>
      <c r="K202" s="48"/>
      <c r="L202" s="48"/>
      <c r="M202" s="48"/>
      <c r="N202" s="48"/>
      <c r="O202" s="48"/>
      <c r="P202" s="48"/>
      <c r="Q202" s="48"/>
    </row>
    <row r="203" spans="2:17" s="46" customFormat="1" ht="15" customHeight="1">
      <c r="B203" s="47"/>
      <c r="C203" s="48"/>
      <c r="D203" s="48"/>
      <c r="E203" s="48"/>
      <c r="F203" s="48"/>
      <c r="G203" s="48"/>
      <c r="H203" s="48"/>
      <c r="I203" s="48"/>
      <c r="J203" s="48"/>
      <c r="K203" s="48"/>
      <c r="L203" s="48"/>
      <c r="M203" s="48"/>
      <c r="N203" s="48"/>
      <c r="O203" s="48"/>
      <c r="P203" s="48"/>
      <c r="Q203" s="48"/>
    </row>
    <row r="204" spans="2:17" s="46" customFormat="1" ht="15" customHeight="1">
      <c r="B204" s="47"/>
      <c r="C204" s="48"/>
      <c r="D204" s="48"/>
      <c r="E204" s="48"/>
      <c r="F204" s="48"/>
      <c r="G204" s="48"/>
      <c r="H204" s="48"/>
      <c r="I204" s="48"/>
      <c r="J204" s="48"/>
      <c r="K204" s="48"/>
      <c r="L204" s="48"/>
      <c r="M204" s="48"/>
      <c r="N204" s="48"/>
      <c r="O204" s="48"/>
      <c r="P204" s="48"/>
      <c r="Q204" s="48"/>
    </row>
    <row r="205" spans="2:17" s="46" customFormat="1" ht="15" customHeight="1">
      <c r="B205" s="47"/>
      <c r="C205" s="48"/>
      <c r="D205" s="48"/>
      <c r="E205" s="48"/>
      <c r="F205" s="48"/>
      <c r="G205" s="48"/>
      <c r="H205" s="48"/>
      <c r="I205" s="48"/>
      <c r="J205" s="48"/>
      <c r="K205" s="48"/>
      <c r="L205" s="48"/>
      <c r="M205" s="48"/>
      <c r="N205" s="48"/>
      <c r="O205" s="48"/>
      <c r="P205" s="48"/>
      <c r="Q205" s="48"/>
    </row>
    <row r="206" spans="2:17" s="46" customFormat="1" ht="15" customHeight="1">
      <c r="B206" s="47"/>
      <c r="C206" s="48"/>
      <c r="D206" s="48"/>
      <c r="E206" s="48"/>
      <c r="F206" s="48"/>
      <c r="G206" s="48"/>
      <c r="H206" s="48"/>
      <c r="I206" s="48"/>
      <c r="J206" s="48"/>
      <c r="K206" s="48"/>
      <c r="L206" s="48"/>
      <c r="M206" s="48"/>
      <c r="N206" s="48"/>
      <c r="O206" s="48"/>
      <c r="P206" s="48"/>
      <c r="Q206" s="48"/>
    </row>
    <row r="207" spans="2:17" s="46" customFormat="1" ht="15" customHeight="1">
      <c r="B207" s="47"/>
      <c r="C207" s="48"/>
      <c r="D207" s="48"/>
      <c r="E207" s="48"/>
      <c r="F207" s="48"/>
      <c r="G207" s="48"/>
      <c r="H207" s="48"/>
      <c r="I207" s="48"/>
      <c r="J207" s="48"/>
      <c r="K207" s="48"/>
      <c r="L207" s="48"/>
      <c r="M207" s="48"/>
      <c r="N207" s="48"/>
      <c r="O207" s="48"/>
      <c r="P207" s="48"/>
      <c r="Q207" s="48"/>
    </row>
    <row r="208" spans="2:17" s="46" customFormat="1" ht="15" customHeight="1">
      <c r="B208" s="47"/>
      <c r="C208" s="48"/>
      <c r="D208" s="48"/>
      <c r="E208" s="48"/>
      <c r="F208" s="48"/>
      <c r="G208" s="48"/>
      <c r="H208" s="48"/>
      <c r="I208" s="48"/>
      <c r="J208" s="48"/>
      <c r="K208" s="48"/>
      <c r="L208" s="48"/>
      <c r="M208" s="48"/>
      <c r="N208" s="48"/>
      <c r="O208" s="48"/>
      <c r="P208" s="48"/>
      <c r="Q208" s="48"/>
    </row>
    <row r="209" spans="2:17" s="46" customFormat="1" ht="15" customHeight="1">
      <c r="B209" s="47"/>
      <c r="C209" s="48"/>
      <c r="D209" s="48"/>
      <c r="E209" s="48"/>
      <c r="F209" s="48"/>
      <c r="G209" s="48"/>
      <c r="H209" s="48"/>
      <c r="I209" s="48"/>
      <c r="J209" s="48"/>
      <c r="K209" s="48"/>
      <c r="L209" s="48"/>
      <c r="M209" s="48"/>
      <c r="N209" s="48"/>
      <c r="O209" s="48"/>
      <c r="P209" s="48"/>
      <c r="Q209" s="48"/>
    </row>
    <row r="210" spans="2:17" s="46" customFormat="1" ht="15" customHeight="1">
      <c r="B210" s="47"/>
      <c r="C210" s="48"/>
      <c r="D210" s="48"/>
      <c r="E210" s="48"/>
      <c r="F210" s="48"/>
      <c r="G210" s="48"/>
      <c r="H210" s="48"/>
      <c r="I210" s="48"/>
      <c r="J210" s="48"/>
      <c r="K210" s="48"/>
      <c r="L210" s="48"/>
      <c r="M210" s="48"/>
      <c r="N210" s="48"/>
      <c r="O210" s="48"/>
      <c r="P210" s="48"/>
      <c r="Q210" s="48"/>
    </row>
    <row r="211" spans="2:17" s="46" customFormat="1" ht="15" customHeight="1">
      <c r="B211" s="47"/>
      <c r="C211" s="48"/>
      <c r="D211" s="48"/>
      <c r="E211" s="48"/>
      <c r="F211" s="48"/>
      <c r="G211" s="48"/>
      <c r="H211" s="48"/>
      <c r="I211" s="48"/>
      <c r="J211" s="48"/>
      <c r="K211" s="48"/>
      <c r="L211" s="48"/>
      <c r="M211" s="48"/>
      <c r="N211" s="48"/>
      <c r="O211" s="48"/>
      <c r="P211" s="48"/>
      <c r="Q211" s="48"/>
    </row>
    <row r="212" spans="2:17" s="46" customFormat="1" ht="15" customHeight="1">
      <c r="B212" s="47"/>
      <c r="C212" s="48"/>
      <c r="D212" s="48"/>
      <c r="E212" s="48"/>
      <c r="F212" s="48"/>
      <c r="G212" s="48"/>
      <c r="H212" s="48"/>
      <c r="I212" s="48"/>
      <c r="J212" s="48"/>
      <c r="K212" s="48"/>
      <c r="L212" s="48"/>
      <c r="M212" s="48"/>
      <c r="N212" s="48"/>
      <c r="O212" s="48"/>
      <c r="P212" s="48"/>
      <c r="Q212" s="48"/>
    </row>
    <row r="213" spans="2:17" s="46" customFormat="1" ht="15" customHeight="1">
      <c r="B213" s="47"/>
      <c r="C213" s="48"/>
      <c r="D213" s="48"/>
      <c r="E213" s="48"/>
      <c r="F213" s="48"/>
      <c r="G213" s="48"/>
      <c r="H213" s="48"/>
      <c r="I213" s="48"/>
      <c r="J213" s="48"/>
      <c r="K213" s="48"/>
      <c r="L213" s="48"/>
      <c r="M213" s="48"/>
      <c r="N213" s="48"/>
      <c r="O213" s="48"/>
      <c r="P213" s="48"/>
      <c r="Q213" s="48"/>
    </row>
    <row r="214" spans="2:17" s="46" customFormat="1" ht="15" customHeight="1">
      <c r="B214" s="47"/>
      <c r="C214" s="48"/>
      <c r="D214" s="48"/>
      <c r="E214" s="48"/>
      <c r="F214" s="48"/>
      <c r="G214" s="48"/>
      <c r="H214" s="48"/>
      <c r="I214" s="48"/>
      <c r="J214" s="48"/>
      <c r="K214" s="48"/>
      <c r="L214" s="48"/>
      <c r="M214" s="48"/>
      <c r="N214" s="48"/>
      <c r="O214" s="48"/>
      <c r="P214" s="48"/>
      <c r="Q214" s="48"/>
    </row>
    <row r="215" spans="2:17" s="46" customFormat="1" ht="15" customHeight="1">
      <c r="B215" s="47"/>
      <c r="C215" s="48"/>
      <c r="D215" s="48"/>
      <c r="E215" s="48"/>
      <c r="F215" s="48"/>
      <c r="G215" s="48"/>
      <c r="H215" s="48"/>
      <c r="I215" s="48"/>
      <c r="J215" s="48"/>
      <c r="K215" s="48"/>
      <c r="L215" s="48"/>
      <c r="M215" s="48"/>
      <c r="N215" s="48"/>
      <c r="O215" s="48"/>
      <c r="P215" s="48"/>
      <c r="Q215" s="48"/>
    </row>
    <row r="216" spans="2:17" s="46" customFormat="1" ht="15" customHeight="1">
      <c r="B216" s="47"/>
      <c r="C216" s="48"/>
      <c r="D216" s="48"/>
      <c r="E216" s="48"/>
      <c r="F216" s="48"/>
      <c r="G216" s="48"/>
      <c r="H216" s="48"/>
      <c r="I216" s="48"/>
      <c r="J216" s="48"/>
      <c r="K216" s="48"/>
      <c r="L216" s="48"/>
      <c r="M216" s="48"/>
      <c r="N216" s="48"/>
      <c r="O216" s="48"/>
      <c r="P216" s="48"/>
      <c r="Q216" s="48"/>
    </row>
    <row r="217" spans="2:17" s="46" customFormat="1" ht="15" customHeight="1">
      <c r="B217" s="47"/>
      <c r="C217" s="48"/>
      <c r="D217" s="48"/>
      <c r="E217" s="48"/>
      <c r="F217" s="48"/>
      <c r="G217" s="48"/>
      <c r="H217" s="48"/>
      <c r="I217" s="48"/>
      <c r="J217" s="48"/>
      <c r="K217" s="48"/>
      <c r="L217" s="48"/>
      <c r="M217" s="48"/>
      <c r="N217" s="48"/>
      <c r="O217" s="48"/>
      <c r="P217" s="48"/>
      <c r="Q217" s="48"/>
    </row>
    <row r="218" spans="2:17" s="46" customFormat="1" ht="15" customHeight="1">
      <c r="B218" s="47"/>
      <c r="C218" s="48"/>
      <c r="D218" s="48"/>
      <c r="E218" s="48"/>
      <c r="F218" s="48"/>
      <c r="G218" s="48"/>
      <c r="H218" s="48"/>
      <c r="I218" s="48"/>
      <c r="J218" s="48"/>
      <c r="K218" s="48"/>
      <c r="L218" s="48"/>
      <c r="M218" s="48"/>
      <c r="N218" s="48"/>
      <c r="O218" s="48"/>
      <c r="P218" s="48"/>
      <c r="Q218" s="48"/>
    </row>
    <row r="219" spans="2:17" s="46" customFormat="1" ht="15" customHeight="1">
      <c r="B219" s="47"/>
      <c r="C219" s="48"/>
      <c r="D219" s="48"/>
      <c r="E219" s="48"/>
      <c r="F219" s="48"/>
      <c r="G219" s="48"/>
      <c r="H219" s="48"/>
      <c r="I219" s="48"/>
      <c r="J219" s="48"/>
      <c r="K219" s="48"/>
      <c r="L219" s="48"/>
      <c r="M219" s="48"/>
      <c r="N219" s="48"/>
      <c r="O219" s="48"/>
      <c r="P219" s="48"/>
      <c r="Q219" s="48"/>
    </row>
    <row r="220" spans="2:17" s="46" customFormat="1" ht="15" customHeight="1">
      <c r="B220" s="47"/>
      <c r="C220" s="48"/>
      <c r="D220" s="48"/>
      <c r="E220" s="48"/>
      <c r="F220" s="48"/>
      <c r="G220" s="48"/>
      <c r="H220" s="48"/>
      <c r="I220" s="48"/>
      <c r="J220" s="48"/>
      <c r="K220" s="48"/>
      <c r="L220" s="48"/>
      <c r="M220" s="48"/>
      <c r="N220" s="48"/>
      <c r="O220" s="48"/>
      <c r="P220" s="48"/>
      <c r="Q220" s="48"/>
    </row>
    <row r="221" spans="2:17" s="46" customFormat="1" ht="15" customHeight="1">
      <c r="B221" s="47"/>
      <c r="C221" s="48"/>
      <c r="D221" s="48"/>
      <c r="E221" s="48"/>
      <c r="F221" s="48"/>
      <c r="G221" s="48"/>
      <c r="H221" s="48"/>
      <c r="I221" s="48"/>
      <c r="J221" s="48"/>
      <c r="K221" s="48"/>
      <c r="L221" s="48"/>
      <c r="M221" s="48"/>
      <c r="N221" s="48"/>
      <c r="O221" s="48"/>
      <c r="P221" s="48"/>
      <c r="Q221" s="48"/>
    </row>
    <row r="222" spans="2:17" s="46" customFormat="1" ht="15" customHeight="1">
      <c r="B222" s="47"/>
      <c r="C222" s="48"/>
      <c r="D222" s="48"/>
      <c r="E222" s="48"/>
      <c r="F222" s="48"/>
      <c r="G222" s="48"/>
      <c r="H222" s="48"/>
      <c r="I222" s="48"/>
      <c r="J222" s="48"/>
      <c r="K222" s="48"/>
      <c r="L222" s="48"/>
      <c r="M222" s="48"/>
      <c r="N222" s="48"/>
      <c r="O222" s="48"/>
      <c r="P222" s="48"/>
      <c r="Q222" s="48"/>
    </row>
    <row r="223" spans="2:17" s="46" customFormat="1" ht="15" customHeight="1">
      <c r="B223" s="47"/>
      <c r="C223" s="48"/>
      <c r="D223" s="48"/>
      <c r="E223" s="48"/>
      <c r="F223" s="48"/>
      <c r="G223" s="48"/>
      <c r="H223" s="48"/>
      <c r="I223" s="48"/>
      <c r="J223" s="48"/>
      <c r="K223" s="48"/>
      <c r="L223" s="48"/>
      <c r="M223" s="48"/>
      <c r="N223" s="48"/>
      <c r="O223" s="48"/>
      <c r="P223" s="48"/>
      <c r="Q223" s="48"/>
    </row>
    <row r="224" spans="2:17" s="46" customFormat="1" ht="15" customHeight="1">
      <c r="B224" s="47"/>
      <c r="C224" s="48"/>
      <c r="D224" s="48"/>
      <c r="E224" s="48"/>
      <c r="F224" s="48"/>
      <c r="G224" s="48"/>
      <c r="H224" s="48"/>
      <c r="I224" s="48"/>
      <c r="J224" s="48"/>
      <c r="K224" s="48"/>
      <c r="L224" s="48"/>
      <c r="M224" s="48"/>
      <c r="N224" s="48"/>
      <c r="O224" s="48"/>
      <c r="P224" s="48"/>
      <c r="Q224" s="48"/>
    </row>
    <row r="225" spans="2:17" s="46" customFormat="1" ht="15" customHeight="1">
      <c r="B225" s="47"/>
      <c r="C225" s="48"/>
      <c r="D225" s="48"/>
      <c r="E225" s="48"/>
      <c r="F225" s="48"/>
      <c r="G225" s="48"/>
      <c r="H225" s="48"/>
      <c r="I225" s="48"/>
      <c r="J225" s="48"/>
      <c r="K225" s="48"/>
      <c r="L225" s="48"/>
      <c r="M225" s="48"/>
      <c r="N225" s="48"/>
      <c r="O225" s="48"/>
      <c r="P225" s="48"/>
      <c r="Q225" s="48"/>
    </row>
    <row r="226" spans="2:17" s="46" customFormat="1" ht="15" customHeight="1">
      <c r="B226" s="47"/>
      <c r="C226" s="48"/>
      <c r="D226" s="48"/>
      <c r="E226" s="48"/>
      <c r="F226" s="48"/>
      <c r="G226" s="48"/>
      <c r="H226" s="48"/>
      <c r="I226" s="48"/>
      <c r="J226" s="48"/>
      <c r="K226" s="48"/>
      <c r="L226" s="48"/>
      <c r="M226" s="48"/>
      <c r="N226" s="48"/>
      <c r="O226" s="48"/>
      <c r="P226" s="48"/>
      <c r="Q226" s="48"/>
    </row>
    <row r="227" spans="2:17" s="46" customFormat="1" ht="15" customHeight="1">
      <c r="B227" s="47"/>
      <c r="C227" s="48"/>
      <c r="D227" s="48"/>
      <c r="E227" s="48"/>
      <c r="F227" s="48"/>
      <c r="G227" s="48"/>
      <c r="H227" s="48"/>
      <c r="I227" s="48"/>
      <c r="J227" s="48"/>
      <c r="K227" s="48"/>
      <c r="L227" s="48"/>
      <c r="M227" s="48"/>
      <c r="N227" s="48"/>
      <c r="O227" s="48"/>
      <c r="P227" s="48"/>
      <c r="Q227" s="48"/>
    </row>
    <row r="228" spans="2:17" s="46" customFormat="1" ht="15" customHeight="1">
      <c r="B228" s="47"/>
      <c r="C228" s="48"/>
      <c r="D228" s="48"/>
      <c r="E228" s="48"/>
      <c r="F228" s="48"/>
      <c r="G228" s="48"/>
      <c r="H228" s="48"/>
      <c r="I228" s="48"/>
      <c r="J228" s="48"/>
      <c r="K228" s="48"/>
      <c r="L228" s="48"/>
      <c r="M228" s="48"/>
      <c r="N228" s="48"/>
      <c r="O228" s="48"/>
      <c r="P228" s="48"/>
      <c r="Q228" s="48"/>
    </row>
    <row r="229" spans="2:17" s="46" customFormat="1" ht="15" customHeight="1">
      <c r="B229" s="47"/>
      <c r="C229" s="48"/>
      <c r="D229" s="48"/>
      <c r="E229" s="48"/>
      <c r="F229" s="48"/>
      <c r="G229" s="48"/>
      <c r="H229" s="48"/>
      <c r="I229" s="48"/>
      <c r="J229" s="48"/>
      <c r="K229" s="48"/>
      <c r="L229" s="48"/>
      <c r="M229" s="48"/>
      <c r="N229" s="48"/>
      <c r="O229" s="48"/>
      <c r="P229" s="48"/>
      <c r="Q229" s="48"/>
    </row>
    <row r="230" spans="2:17" s="46" customFormat="1" ht="15" customHeight="1">
      <c r="B230" s="47"/>
      <c r="C230" s="48"/>
      <c r="D230" s="48"/>
      <c r="E230" s="48"/>
      <c r="F230" s="48"/>
      <c r="G230" s="48"/>
      <c r="H230" s="48"/>
      <c r="I230" s="48"/>
      <c r="J230" s="48"/>
      <c r="K230" s="48"/>
      <c r="L230" s="48"/>
      <c r="M230" s="48"/>
      <c r="N230" s="48"/>
      <c r="O230" s="48"/>
      <c r="P230" s="48"/>
      <c r="Q230" s="48"/>
    </row>
    <row r="231" spans="2:17" s="46" customFormat="1" ht="15" customHeight="1">
      <c r="B231" s="47"/>
      <c r="C231" s="48"/>
      <c r="D231" s="48"/>
      <c r="E231" s="48"/>
      <c r="F231" s="48"/>
      <c r="G231" s="48"/>
      <c r="H231" s="48"/>
      <c r="I231" s="48"/>
      <c r="J231" s="48"/>
      <c r="K231" s="48"/>
      <c r="L231" s="48"/>
      <c r="M231" s="48"/>
      <c r="N231" s="48"/>
      <c r="O231" s="48"/>
      <c r="P231" s="48"/>
      <c r="Q231" s="48"/>
    </row>
    <row r="232" spans="2:17" s="46" customFormat="1" ht="15" customHeight="1">
      <c r="B232" s="47"/>
      <c r="C232" s="48"/>
      <c r="D232" s="48"/>
      <c r="E232" s="48"/>
      <c r="F232" s="48"/>
      <c r="G232" s="48"/>
      <c r="H232" s="48"/>
      <c r="I232" s="48"/>
      <c r="J232" s="48"/>
      <c r="K232" s="48"/>
      <c r="L232" s="48"/>
      <c r="M232" s="48"/>
      <c r="N232" s="48"/>
      <c r="O232" s="48"/>
      <c r="P232" s="48"/>
      <c r="Q232" s="48"/>
    </row>
    <row r="233" spans="2:17" s="46" customFormat="1" ht="15" customHeight="1">
      <c r="B233" s="47"/>
      <c r="C233" s="48"/>
      <c r="D233" s="48"/>
      <c r="E233" s="48"/>
      <c r="F233" s="48"/>
      <c r="G233" s="48"/>
      <c r="H233" s="48"/>
      <c r="I233" s="48"/>
      <c r="J233" s="48"/>
      <c r="K233" s="48"/>
      <c r="L233" s="48"/>
      <c r="M233" s="48"/>
      <c r="N233" s="48"/>
      <c r="O233" s="48"/>
      <c r="P233" s="48"/>
      <c r="Q233" s="48"/>
    </row>
    <row r="234" spans="2:17" s="46" customFormat="1" ht="15" customHeight="1">
      <c r="B234" s="47"/>
      <c r="C234" s="48"/>
      <c r="D234" s="48"/>
      <c r="E234" s="48"/>
      <c r="F234" s="48"/>
      <c r="G234" s="48"/>
      <c r="H234" s="48"/>
      <c r="I234" s="48"/>
      <c r="J234" s="48"/>
      <c r="K234" s="48"/>
      <c r="L234" s="48"/>
      <c r="M234" s="48"/>
      <c r="N234" s="48"/>
      <c r="O234" s="48"/>
      <c r="P234" s="48"/>
      <c r="Q234" s="48"/>
    </row>
    <row r="235" spans="2:17" s="46" customFormat="1" ht="15" customHeight="1">
      <c r="B235" s="47"/>
      <c r="C235" s="48"/>
      <c r="D235" s="48"/>
      <c r="E235" s="48"/>
      <c r="F235" s="48"/>
      <c r="G235" s="48"/>
      <c r="H235" s="48"/>
      <c r="I235" s="48"/>
      <c r="J235" s="48"/>
      <c r="K235" s="48"/>
      <c r="L235" s="48"/>
      <c r="M235" s="48"/>
      <c r="N235" s="48"/>
      <c r="O235" s="48"/>
      <c r="P235" s="48"/>
      <c r="Q235" s="48"/>
    </row>
    <row r="236" spans="2:17" s="46" customFormat="1" ht="15" customHeight="1">
      <c r="B236" s="47"/>
      <c r="C236" s="48"/>
      <c r="D236" s="48"/>
      <c r="E236" s="48"/>
      <c r="F236" s="48"/>
      <c r="G236" s="48"/>
      <c r="H236" s="48"/>
      <c r="I236" s="48"/>
      <c r="J236" s="48"/>
      <c r="K236" s="48"/>
      <c r="L236" s="48"/>
      <c r="M236" s="48"/>
      <c r="N236" s="48"/>
      <c r="O236" s="48"/>
      <c r="P236" s="48"/>
      <c r="Q236" s="48"/>
    </row>
    <row r="237" spans="2:17" s="46" customFormat="1" ht="15" customHeight="1">
      <c r="B237" s="47"/>
      <c r="C237" s="48"/>
      <c r="D237" s="48"/>
      <c r="E237" s="48"/>
      <c r="F237" s="48"/>
      <c r="G237" s="48"/>
      <c r="H237" s="48"/>
      <c r="I237" s="48"/>
      <c r="J237" s="48"/>
      <c r="K237" s="48"/>
      <c r="L237" s="48"/>
      <c r="M237" s="48"/>
      <c r="N237" s="48"/>
      <c r="O237" s="48"/>
      <c r="P237" s="48"/>
      <c r="Q237" s="48"/>
    </row>
    <row r="238" spans="2:17" s="46" customFormat="1" ht="15" customHeight="1">
      <c r="B238" s="47"/>
      <c r="C238" s="48"/>
      <c r="D238" s="48"/>
      <c r="E238" s="48"/>
      <c r="F238" s="48"/>
      <c r="G238" s="48"/>
      <c r="H238" s="48"/>
      <c r="I238" s="48"/>
      <c r="J238" s="48"/>
      <c r="K238" s="48"/>
      <c r="L238" s="48"/>
      <c r="M238" s="48"/>
      <c r="N238" s="48"/>
      <c r="O238" s="48"/>
      <c r="P238" s="48"/>
      <c r="Q238" s="48"/>
    </row>
    <row r="239" spans="2:17" s="46" customFormat="1" ht="15" customHeight="1">
      <c r="B239" s="47"/>
      <c r="C239" s="48"/>
      <c r="D239" s="48"/>
      <c r="E239" s="48"/>
      <c r="F239" s="48"/>
      <c r="G239" s="48"/>
      <c r="H239" s="48"/>
      <c r="I239" s="48"/>
      <c r="J239" s="48"/>
      <c r="K239" s="48"/>
      <c r="L239" s="48"/>
      <c r="M239" s="48"/>
      <c r="N239" s="48"/>
      <c r="O239" s="48"/>
      <c r="P239" s="48"/>
      <c r="Q239" s="48"/>
    </row>
    <row r="240" spans="2:17" s="46" customFormat="1" ht="15" customHeight="1">
      <c r="B240" s="47"/>
      <c r="C240" s="48"/>
      <c r="D240" s="48"/>
      <c r="E240" s="48"/>
      <c r="F240" s="48"/>
      <c r="G240" s="48"/>
      <c r="H240" s="48"/>
      <c r="I240" s="48"/>
      <c r="J240" s="48"/>
      <c r="K240" s="48"/>
      <c r="L240" s="48"/>
      <c r="M240" s="48"/>
      <c r="N240" s="48"/>
      <c r="O240" s="48"/>
      <c r="P240" s="48"/>
      <c r="Q240" s="48"/>
    </row>
    <row r="241" spans="2:17" s="46" customFormat="1" ht="15" customHeight="1">
      <c r="B241" s="47"/>
      <c r="C241" s="48"/>
      <c r="D241" s="48"/>
      <c r="E241" s="48"/>
      <c r="F241" s="48"/>
      <c r="G241" s="48"/>
      <c r="H241" s="48"/>
      <c r="I241" s="48"/>
      <c r="J241" s="48"/>
      <c r="K241" s="48"/>
      <c r="L241" s="48"/>
      <c r="M241" s="48"/>
      <c r="N241" s="48"/>
      <c r="O241" s="48"/>
      <c r="P241" s="48"/>
      <c r="Q241" s="48"/>
    </row>
    <row r="242" spans="2:17" s="46" customFormat="1" ht="15" customHeight="1">
      <c r="B242" s="47"/>
      <c r="C242" s="48"/>
      <c r="D242" s="48"/>
      <c r="E242" s="48"/>
      <c r="F242" s="48"/>
      <c r="G242" s="48"/>
      <c r="H242" s="48"/>
      <c r="I242" s="48"/>
      <c r="J242" s="48"/>
      <c r="K242" s="48"/>
      <c r="L242" s="48"/>
      <c r="M242" s="48"/>
      <c r="N242" s="48"/>
      <c r="O242" s="48"/>
      <c r="P242" s="48"/>
      <c r="Q242" s="48"/>
    </row>
    <row r="243" spans="2:17" s="46" customFormat="1" ht="15" customHeight="1">
      <c r="B243" s="47"/>
      <c r="C243" s="48"/>
      <c r="D243" s="48"/>
      <c r="E243" s="48"/>
      <c r="F243" s="48"/>
      <c r="G243" s="48"/>
      <c r="H243" s="48"/>
      <c r="I243" s="48"/>
      <c r="J243" s="48"/>
      <c r="K243" s="48"/>
      <c r="L243" s="48"/>
      <c r="M243" s="48"/>
      <c r="N243" s="48"/>
      <c r="O243" s="48"/>
      <c r="P243" s="48"/>
      <c r="Q243" s="48"/>
    </row>
    <row r="244" spans="2:17" s="46" customFormat="1" ht="15" customHeight="1">
      <c r="B244" s="47"/>
      <c r="C244" s="48"/>
      <c r="D244" s="48"/>
      <c r="E244" s="48"/>
      <c r="F244" s="48"/>
      <c r="G244" s="48"/>
      <c r="H244" s="48"/>
      <c r="I244" s="48"/>
      <c r="J244" s="48"/>
      <c r="K244" s="48"/>
      <c r="L244" s="48"/>
      <c r="M244" s="48"/>
      <c r="N244" s="48"/>
      <c r="O244" s="48"/>
      <c r="P244" s="48"/>
      <c r="Q244" s="48"/>
    </row>
    <row r="245" spans="2:17" s="46" customFormat="1" ht="15" customHeight="1">
      <c r="B245" s="47"/>
      <c r="C245" s="48"/>
      <c r="D245" s="48"/>
      <c r="E245" s="48"/>
      <c r="F245" s="48"/>
      <c r="G245" s="48"/>
      <c r="H245" s="48"/>
      <c r="I245" s="48"/>
      <c r="J245" s="48"/>
      <c r="K245" s="48"/>
      <c r="L245" s="48"/>
      <c r="M245" s="48"/>
      <c r="N245" s="48"/>
      <c r="O245" s="48"/>
      <c r="P245" s="48"/>
      <c r="Q245" s="48"/>
    </row>
    <row r="246" spans="2:17" s="46" customFormat="1" ht="15" customHeight="1">
      <c r="B246" s="47"/>
      <c r="C246" s="48"/>
      <c r="D246" s="48"/>
      <c r="E246" s="48"/>
      <c r="F246" s="48"/>
      <c r="G246" s="48"/>
      <c r="H246" s="48"/>
      <c r="I246" s="48"/>
      <c r="J246" s="48"/>
      <c r="K246" s="48"/>
      <c r="L246" s="48"/>
      <c r="M246" s="48"/>
      <c r="N246" s="48"/>
      <c r="O246" s="48"/>
      <c r="P246" s="48"/>
      <c r="Q246" s="48"/>
    </row>
    <row r="247" spans="2:17" s="46" customFormat="1" ht="15" customHeight="1">
      <c r="B247" s="47"/>
      <c r="C247" s="48"/>
      <c r="D247" s="48"/>
      <c r="E247" s="48"/>
      <c r="F247" s="48"/>
      <c r="G247" s="48"/>
      <c r="H247" s="48"/>
      <c r="I247" s="48"/>
      <c r="J247" s="48"/>
      <c r="K247" s="48"/>
      <c r="L247" s="48"/>
      <c r="M247" s="48"/>
      <c r="N247" s="48"/>
      <c r="O247" s="48"/>
      <c r="P247" s="48"/>
      <c r="Q247" s="48"/>
    </row>
    <row r="248" spans="2:17" s="46" customFormat="1" ht="15" customHeight="1">
      <c r="B248" s="47"/>
      <c r="C248" s="48"/>
      <c r="D248" s="48"/>
      <c r="E248" s="48"/>
      <c r="F248" s="48"/>
      <c r="G248" s="48"/>
      <c r="H248" s="48"/>
      <c r="I248" s="48"/>
      <c r="J248" s="48"/>
      <c r="K248" s="48"/>
      <c r="L248" s="48"/>
      <c r="M248" s="48"/>
      <c r="N248" s="48"/>
      <c r="O248" s="48"/>
      <c r="P248" s="48"/>
      <c r="Q248" s="48"/>
    </row>
    <row r="249" spans="2:17" s="46" customFormat="1" ht="15" customHeight="1">
      <c r="B249" s="47"/>
      <c r="C249" s="48"/>
      <c r="D249" s="48"/>
      <c r="E249" s="48"/>
      <c r="F249" s="48"/>
      <c r="G249" s="48"/>
      <c r="H249" s="48"/>
      <c r="I249" s="48"/>
      <c r="J249" s="48"/>
      <c r="K249" s="48"/>
      <c r="L249" s="48"/>
      <c r="M249" s="48"/>
      <c r="N249" s="48"/>
      <c r="O249" s="48"/>
      <c r="P249" s="48"/>
      <c r="Q249" s="48"/>
    </row>
    <row r="250" spans="2:17" s="46" customFormat="1" ht="15" customHeight="1">
      <c r="B250" s="47"/>
      <c r="C250" s="48"/>
      <c r="D250" s="48"/>
      <c r="E250" s="48"/>
      <c r="F250" s="48"/>
      <c r="G250" s="48"/>
      <c r="H250" s="48"/>
      <c r="I250" s="48"/>
      <c r="J250" s="48"/>
      <c r="K250" s="48"/>
      <c r="L250" s="48"/>
      <c r="M250" s="48"/>
      <c r="N250" s="48"/>
      <c r="O250" s="48"/>
      <c r="P250" s="48"/>
      <c r="Q250" s="48"/>
    </row>
    <row r="251" spans="2:17" s="46" customFormat="1" ht="15" customHeight="1">
      <c r="B251" s="47"/>
      <c r="C251" s="48"/>
      <c r="D251" s="48"/>
      <c r="E251" s="48"/>
      <c r="F251" s="48"/>
      <c r="G251" s="48"/>
      <c r="H251" s="48"/>
      <c r="I251" s="48"/>
      <c r="J251" s="48"/>
      <c r="K251" s="48"/>
      <c r="L251" s="48"/>
      <c r="M251" s="48"/>
      <c r="N251" s="48"/>
      <c r="O251" s="48"/>
      <c r="P251" s="48"/>
      <c r="Q251" s="48"/>
    </row>
    <row r="252" spans="2:17" s="46" customFormat="1" ht="15" customHeight="1">
      <c r="B252" s="47"/>
      <c r="C252" s="48"/>
      <c r="D252" s="48"/>
      <c r="E252" s="48"/>
      <c r="F252" s="48"/>
      <c r="G252" s="48"/>
      <c r="H252" s="48"/>
      <c r="I252" s="48"/>
      <c r="J252" s="48"/>
      <c r="K252" s="48"/>
      <c r="L252" s="48"/>
      <c r="M252" s="48"/>
      <c r="N252" s="48"/>
      <c r="O252" s="48"/>
      <c r="P252" s="48"/>
      <c r="Q252" s="48"/>
    </row>
    <row r="253" spans="2:17" s="46" customFormat="1" ht="15" customHeight="1">
      <c r="B253" s="47"/>
      <c r="C253" s="48"/>
      <c r="D253" s="48"/>
      <c r="E253" s="48"/>
      <c r="F253" s="48"/>
      <c r="G253" s="48"/>
      <c r="H253" s="48"/>
      <c r="I253" s="48"/>
      <c r="J253" s="48"/>
      <c r="K253" s="48"/>
      <c r="L253" s="48"/>
      <c r="M253" s="48"/>
      <c r="N253" s="48"/>
      <c r="O253" s="48"/>
      <c r="P253" s="48"/>
      <c r="Q253" s="48"/>
    </row>
    <row r="254" spans="2:17" s="46" customFormat="1" ht="15" customHeight="1">
      <c r="B254" s="47"/>
      <c r="C254" s="48"/>
      <c r="D254" s="48"/>
      <c r="E254" s="48"/>
      <c r="F254" s="48"/>
      <c r="G254" s="48"/>
      <c r="H254" s="48"/>
      <c r="I254" s="48"/>
      <c r="J254" s="48"/>
      <c r="K254" s="48"/>
      <c r="L254" s="48"/>
      <c r="M254" s="48"/>
      <c r="N254" s="48"/>
      <c r="O254" s="48"/>
      <c r="P254" s="48"/>
      <c r="Q254" s="48"/>
    </row>
    <row r="255" spans="2:17" s="46" customFormat="1" ht="15" customHeight="1">
      <c r="B255" s="47"/>
      <c r="C255" s="48"/>
      <c r="D255" s="48"/>
      <c r="E255" s="48"/>
      <c r="F255" s="48"/>
      <c r="G255" s="48"/>
      <c r="H255" s="48"/>
      <c r="I255" s="48"/>
      <c r="J255" s="48"/>
      <c r="K255" s="48"/>
      <c r="L255" s="48"/>
      <c r="M255" s="48"/>
      <c r="N255" s="48"/>
      <c r="O255" s="48"/>
      <c r="P255" s="48"/>
      <c r="Q255" s="48"/>
    </row>
    <row r="256" spans="2:17" s="46" customFormat="1" ht="15" customHeight="1">
      <c r="B256" s="47"/>
      <c r="C256" s="48"/>
      <c r="D256" s="48"/>
      <c r="E256" s="48"/>
      <c r="F256" s="48"/>
      <c r="G256" s="48"/>
      <c r="H256" s="48"/>
      <c r="I256" s="48"/>
      <c r="J256" s="48"/>
      <c r="K256" s="48"/>
      <c r="L256" s="48"/>
      <c r="M256" s="48"/>
      <c r="N256" s="48"/>
      <c r="O256" s="48"/>
      <c r="P256" s="48"/>
      <c r="Q256" s="48"/>
    </row>
    <row r="257" spans="2:17" s="46" customFormat="1" ht="15" customHeight="1">
      <c r="B257" s="47"/>
      <c r="C257" s="48"/>
      <c r="D257" s="48"/>
      <c r="E257" s="48"/>
      <c r="F257" s="48"/>
      <c r="G257" s="48"/>
      <c r="H257" s="48"/>
      <c r="I257" s="48"/>
      <c r="J257" s="48"/>
      <c r="K257" s="48"/>
      <c r="L257" s="48"/>
      <c r="M257" s="48"/>
      <c r="N257" s="48"/>
      <c r="O257" s="48"/>
      <c r="P257" s="48"/>
      <c r="Q257" s="48"/>
    </row>
    <row r="258" spans="2:17" s="46" customFormat="1" ht="15" customHeight="1">
      <c r="B258" s="47"/>
      <c r="C258" s="48"/>
      <c r="D258" s="48"/>
      <c r="E258" s="48"/>
      <c r="F258" s="48"/>
      <c r="G258" s="48"/>
      <c r="H258" s="48"/>
      <c r="I258" s="48"/>
      <c r="J258" s="48"/>
      <c r="K258" s="48"/>
      <c r="L258" s="48"/>
      <c r="M258" s="48"/>
      <c r="N258" s="48"/>
      <c r="O258" s="48"/>
      <c r="P258" s="48"/>
      <c r="Q258" s="48"/>
    </row>
    <row r="259" spans="2:17" s="46" customFormat="1" ht="15" customHeight="1">
      <c r="B259" s="47"/>
      <c r="C259" s="48"/>
      <c r="D259" s="48"/>
      <c r="E259" s="48"/>
      <c r="F259" s="48"/>
      <c r="G259" s="48"/>
      <c r="H259" s="48"/>
      <c r="I259" s="48"/>
      <c r="J259" s="48"/>
      <c r="K259" s="48"/>
      <c r="L259" s="48"/>
      <c r="M259" s="48"/>
      <c r="N259" s="48"/>
      <c r="O259" s="48"/>
      <c r="P259" s="48"/>
      <c r="Q259" s="48"/>
    </row>
    <row r="260" spans="2:17" s="46" customFormat="1" ht="15" customHeight="1">
      <c r="B260" s="47"/>
      <c r="C260" s="48"/>
      <c r="D260" s="48"/>
      <c r="E260" s="48"/>
      <c r="F260" s="48"/>
      <c r="G260" s="48"/>
      <c r="H260" s="48"/>
      <c r="I260" s="48"/>
      <c r="J260" s="48"/>
      <c r="K260" s="48"/>
      <c r="L260" s="48"/>
      <c r="M260" s="48"/>
      <c r="N260" s="48"/>
      <c r="O260" s="48"/>
      <c r="P260" s="48"/>
      <c r="Q260" s="48"/>
    </row>
    <row r="261" spans="2:17" s="46" customFormat="1" ht="15" customHeight="1">
      <c r="B261" s="47"/>
      <c r="C261" s="48"/>
      <c r="D261" s="48"/>
      <c r="E261" s="48"/>
      <c r="F261" s="48"/>
      <c r="G261" s="48"/>
      <c r="H261" s="48"/>
      <c r="I261" s="48"/>
      <c r="J261" s="48"/>
      <c r="K261" s="48"/>
      <c r="L261" s="48"/>
      <c r="M261" s="48"/>
      <c r="N261" s="48"/>
      <c r="O261" s="48"/>
      <c r="P261" s="48"/>
      <c r="Q261" s="48"/>
    </row>
    <row r="262" spans="2:17" s="46" customFormat="1" ht="15" customHeight="1">
      <c r="B262" s="47"/>
      <c r="C262" s="48"/>
      <c r="D262" s="48"/>
      <c r="E262" s="48"/>
      <c r="F262" s="48"/>
      <c r="G262" s="48"/>
      <c r="H262" s="48"/>
      <c r="I262" s="48"/>
      <c r="J262" s="48"/>
      <c r="K262" s="48"/>
      <c r="L262" s="48"/>
      <c r="M262" s="48"/>
      <c r="N262" s="48"/>
      <c r="O262" s="48"/>
      <c r="P262" s="48"/>
      <c r="Q262" s="48"/>
    </row>
    <row r="263" spans="2:17" s="46" customFormat="1" ht="15" customHeight="1">
      <c r="B263" s="47"/>
      <c r="C263" s="48"/>
      <c r="D263" s="48"/>
      <c r="E263" s="48"/>
      <c r="F263" s="48"/>
      <c r="G263" s="48"/>
      <c r="H263" s="48"/>
      <c r="I263" s="48"/>
      <c r="J263" s="48"/>
      <c r="K263" s="48"/>
      <c r="L263" s="48"/>
      <c r="M263" s="48"/>
      <c r="N263" s="48"/>
      <c r="O263" s="48"/>
      <c r="P263" s="48"/>
      <c r="Q263" s="48"/>
    </row>
    <row r="264" spans="2:17" s="46" customFormat="1" ht="15" customHeight="1">
      <c r="B264" s="47"/>
      <c r="C264" s="48"/>
      <c r="D264" s="48"/>
      <c r="E264" s="48"/>
      <c r="F264" s="48"/>
      <c r="G264" s="48"/>
      <c r="H264" s="48"/>
      <c r="I264" s="48"/>
      <c r="J264" s="48"/>
      <c r="K264" s="48"/>
      <c r="L264" s="48"/>
      <c r="M264" s="48"/>
      <c r="N264" s="48"/>
      <c r="O264" s="48"/>
      <c r="P264" s="48"/>
      <c r="Q264" s="48"/>
    </row>
    <row r="265" spans="2:17" s="46" customFormat="1" ht="15" customHeight="1">
      <c r="B265" s="47"/>
      <c r="C265" s="48"/>
      <c r="D265" s="48"/>
      <c r="E265" s="48"/>
      <c r="F265" s="48"/>
      <c r="G265" s="48"/>
      <c r="H265" s="48"/>
      <c r="I265" s="48"/>
      <c r="J265" s="48"/>
      <c r="K265" s="48"/>
      <c r="L265" s="48"/>
      <c r="M265" s="48"/>
      <c r="N265" s="48"/>
      <c r="O265" s="48"/>
      <c r="P265" s="48"/>
      <c r="Q265" s="48"/>
    </row>
    <row r="266" spans="2:17" s="46" customFormat="1" ht="15" customHeight="1">
      <c r="B266" s="47"/>
      <c r="C266" s="48"/>
      <c r="D266" s="48"/>
      <c r="E266" s="48"/>
      <c r="F266" s="48"/>
      <c r="G266" s="48"/>
      <c r="H266" s="48"/>
      <c r="I266" s="48"/>
      <c r="J266" s="48"/>
      <c r="K266" s="48"/>
      <c r="L266" s="48"/>
      <c r="M266" s="48"/>
      <c r="N266" s="48"/>
      <c r="O266" s="48"/>
      <c r="P266" s="48"/>
      <c r="Q266" s="48"/>
    </row>
    <row r="267" spans="2:17" s="46" customFormat="1" ht="15" customHeight="1">
      <c r="B267" s="47"/>
      <c r="C267" s="48"/>
      <c r="D267" s="48"/>
      <c r="E267" s="48"/>
      <c r="F267" s="48"/>
      <c r="G267" s="48"/>
      <c r="H267" s="48"/>
      <c r="I267" s="48"/>
      <c r="J267" s="48"/>
      <c r="K267" s="48"/>
      <c r="L267" s="48"/>
      <c r="M267" s="48"/>
      <c r="N267" s="48"/>
      <c r="O267" s="48"/>
      <c r="P267" s="48"/>
      <c r="Q267" s="48"/>
    </row>
    <row r="268" spans="2:17" s="46" customFormat="1" ht="15" customHeight="1">
      <c r="B268" s="47"/>
      <c r="C268" s="48"/>
      <c r="D268" s="48"/>
      <c r="E268" s="48"/>
      <c r="F268" s="48"/>
      <c r="G268" s="48"/>
      <c r="H268" s="48"/>
      <c r="I268" s="48"/>
      <c r="J268" s="48"/>
      <c r="K268" s="48"/>
      <c r="L268" s="48"/>
      <c r="M268" s="48"/>
      <c r="N268" s="48"/>
      <c r="O268" s="48"/>
      <c r="P268" s="48"/>
      <c r="Q268" s="48"/>
    </row>
    <row r="269" spans="2:17" s="46" customFormat="1" ht="15" customHeight="1">
      <c r="B269" s="47"/>
      <c r="C269" s="48"/>
      <c r="D269" s="48"/>
      <c r="E269" s="48"/>
      <c r="F269" s="48"/>
      <c r="G269" s="48"/>
      <c r="H269" s="48"/>
      <c r="I269" s="48"/>
      <c r="J269" s="48"/>
      <c r="K269" s="48"/>
      <c r="L269" s="48"/>
      <c r="M269" s="48"/>
      <c r="N269" s="48"/>
      <c r="O269" s="48"/>
      <c r="P269" s="48"/>
      <c r="Q269" s="48"/>
    </row>
    <row r="270" spans="2:17" s="46" customFormat="1" ht="15" customHeight="1">
      <c r="B270" s="47"/>
      <c r="C270" s="48"/>
      <c r="D270" s="48"/>
      <c r="E270" s="48"/>
      <c r="F270" s="48"/>
      <c r="G270" s="48"/>
      <c r="H270" s="48"/>
      <c r="I270" s="48"/>
      <c r="J270" s="48"/>
      <c r="K270" s="48"/>
      <c r="L270" s="48"/>
      <c r="M270" s="48"/>
      <c r="N270" s="48"/>
      <c r="O270" s="48"/>
      <c r="P270" s="48"/>
      <c r="Q270" s="48"/>
    </row>
    <row r="271" spans="2:17" s="46" customFormat="1" ht="15" customHeight="1">
      <c r="B271" s="47"/>
      <c r="C271" s="48"/>
      <c r="D271" s="48"/>
      <c r="E271" s="48"/>
      <c r="F271" s="48"/>
      <c r="G271" s="48"/>
      <c r="H271" s="48"/>
      <c r="I271" s="48"/>
      <c r="J271" s="48"/>
      <c r="K271" s="48"/>
      <c r="L271" s="48"/>
      <c r="M271" s="48"/>
      <c r="N271" s="48"/>
      <c r="O271" s="48"/>
      <c r="P271" s="48"/>
      <c r="Q271" s="48"/>
    </row>
    <row r="272" spans="2:17" s="46" customFormat="1" ht="15" customHeight="1">
      <c r="B272" s="47"/>
      <c r="C272" s="48"/>
      <c r="D272" s="48"/>
      <c r="E272" s="48"/>
      <c r="F272" s="48"/>
      <c r="G272" s="48"/>
      <c r="H272" s="48"/>
      <c r="I272" s="48"/>
      <c r="J272" s="48"/>
      <c r="K272" s="48"/>
      <c r="L272" s="48"/>
      <c r="M272" s="48"/>
      <c r="N272" s="48"/>
      <c r="O272" s="48"/>
      <c r="P272" s="48"/>
      <c r="Q272" s="48"/>
    </row>
    <row r="273" spans="2:17" s="46" customFormat="1" ht="15" customHeight="1">
      <c r="B273" s="47"/>
      <c r="C273" s="48"/>
      <c r="D273" s="48"/>
      <c r="E273" s="48"/>
      <c r="F273" s="48"/>
      <c r="G273" s="48"/>
      <c r="H273" s="48"/>
      <c r="I273" s="48"/>
      <c r="J273" s="48"/>
      <c r="K273" s="48"/>
      <c r="L273" s="48"/>
      <c r="M273" s="48"/>
      <c r="N273" s="48"/>
      <c r="O273" s="48"/>
      <c r="P273" s="48"/>
      <c r="Q273" s="48"/>
    </row>
    <row r="274" spans="2:17" s="46" customFormat="1" ht="15" customHeight="1">
      <c r="B274" s="47"/>
      <c r="C274" s="48"/>
      <c r="D274" s="48"/>
      <c r="E274" s="48"/>
      <c r="F274" s="48"/>
      <c r="G274" s="48"/>
      <c r="H274" s="48"/>
      <c r="I274" s="48"/>
      <c r="J274" s="48"/>
      <c r="K274" s="48"/>
      <c r="L274" s="48"/>
      <c r="M274" s="48"/>
      <c r="N274" s="48"/>
      <c r="O274" s="48"/>
      <c r="P274" s="48"/>
      <c r="Q274" s="48"/>
    </row>
    <row r="275" spans="2:17" s="46" customFormat="1" ht="15" customHeight="1">
      <c r="B275" s="47"/>
      <c r="C275" s="48"/>
      <c r="D275" s="48"/>
      <c r="E275" s="48"/>
      <c r="F275" s="48"/>
      <c r="G275" s="48"/>
      <c r="H275" s="48"/>
      <c r="I275" s="48"/>
      <c r="J275" s="48"/>
      <c r="K275" s="48"/>
      <c r="L275" s="48"/>
      <c r="M275" s="48"/>
      <c r="N275" s="48"/>
      <c r="O275" s="48"/>
      <c r="P275" s="48"/>
      <c r="Q275" s="48"/>
    </row>
    <row r="276" spans="2:17" s="46" customFormat="1" ht="15" customHeight="1">
      <c r="B276" s="47"/>
      <c r="C276" s="48"/>
      <c r="D276" s="48"/>
      <c r="E276" s="48"/>
      <c r="F276" s="48"/>
      <c r="G276" s="48"/>
      <c r="H276" s="48"/>
      <c r="I276" s="48"/>
      <c r="J276" s="48"/>
      <c r="K276" s="48"/>
      <c r="L276" s="48"/>
      <c r="M276" s="48"/>
      <c r="N276" s="48"/>
      <c r="O276" s="48"/>
      <c r="P276" s="48"/>
      <c r="Q276" s="48"/>
    </row>
    <row r="277" spans="2:17" s="46" customFormat="1" ht="15" customHeight="1">
      <c r="B277" s="47"/>
      <c r="C277" s="48"/>
      <c r="D277" s="48"/>
      <c r="E277" s="48"/>
      <c r="F277" s="48"/>
      <c r="G277" s="48"/>
      <c r="H277" s="48"/>
      <c r="I277" s="48"/>
      <c r="J277" s="48"/>
      <c r="K277" s="48"/>
      <c r="L277" s="48"/>
      <c r="M277" s="48"/>
      <c r="N277" s="48"/>
      <c r="O277" s="48"/>
      <c r="P277" s="48"/>
      <c r="Q277" s="48"/>
    </row>
    <row r="278" spans="2:17" s="46" customFormat="1" ht="15" customHeight="1">
      <c r="B278" s="47"/>
      <c r="C278" s="48"/>
      <c r="D278" s="48"/>
      <c r="E278" s="48"/>
      <c r="F278" s="48"/>
      <c r="G278" s="48"/>
      <c r="H278" s="48"/>
      <c r="I278" s="48"/>
      <c r="J278" s="48"/>
      <c r="K278" s="48"/>
      <c r="L278" s="48"/>
      <c r="M278" s="48"/>
      <c r="N278" s="48"/>
      <c r="O278" s="48"/>
      <c r="P278" s="48"/>
      <c r="Q278" s="48"/>
    </row>
    <row r="279" spans="2:17" s="46" customFormat="1" ht="15" customHeight="1">
      <c r="B279" s="47"/>
      <c r="C279" s="48"/>
      <c r="D279" s="48"/>
      <c r="E279" s="48"/>
      <c r="F279" s="48"/>
      <c r="G279" s="48"/>
      <c r="H279" s="48"/>
      <c r="I279" s="48"/>
      <c r="J279" s="48"/>
      <c r="K279" s="48"/>
      <c r="L279" s="48"/>
      <c r="M279" s="48"/>
      <c r="N279" s="48"/>
      <c r="O279" s="48"/>
      <c r="P279" s="48"/>
      <c r="Q279" s="48"/>
    </row>
    <row r="280" spans="2:17" s="46" customFormat="1" ht="15" customHeight="1">
      <c r="B280" s="47"/>
      <c r="C280" s="48"/>
      <c r="D280" s="48"/>
      <c r="E280" s="48"/>
      <c r="F280" s="48"/>
      <c r="G280" s="48"/>
      <c r="H280" s="48"/>
      <c r="I280" s="48"/>
      <c r="J280" s="48"/>
      <c r="K280" s="48"/>
      <c r="L280" s="48"/>
      <c r="M280" s="48"/>
      <c r="N280" s="48"/>
      <c r="O280" s="48"/>
      <c r="P280" s="48"/>
      <c r="Q280" s="48"/>
    </row>
    <row r="281" spans="2:17" s="46" customFormat="1" ht="15" customHeight="1">
      <c r="B281" s="47"/>
      <c r="C281" s="48"/>
      <c r="D281" s="48"/>
      <c r="E281" s="48"/>
      <c r="F281" s="48"/>
      <c r="G281" s="48"/>
      <c r="H281" s="48"/>
      <c r="I281" s="48"/>
      <c r="J281" s="48"/>
      <c r="K281" s="48"/>
      <c r="L281" s="48"/>
      <c r="M281" s="48"/>
      <c r="N281" s="48"/>
      <c r="O281" s="48"/>
      <c r="P281" s="48"/>
      <c r="Q281" s="48"/>
    </row>
    <row r="282" spans="2:17" s="46" customFormat="1" ht="15" customHeight="1">
      <c r="B282" s="47"/>
      <c r="C282" s="48"/>
      <c r="D282" s="48"/>
      <c r="E282" s="48"/>
      <c r="F282" s="48"/>
      <c r="G282" s="48"/>
      <c r="H282" s="48"/>
      <c r="I282" s="48"/>
      <c r="J282" s="48"/>
      <c r="K282" s="48"/>
      <c r="L282" s="48"/>
      <c r="M282" s="48"/>
      <c r="N282" s="48"/>
      <c r="O282" s="48"/>
      <c r="P282" s="48"/>
      <c r="Q282" s="48"/>
    </row>
    <row r="283" spans="2:17" s="46" customFormat="1" ht="15" customHeight="1">
      <c r="B283" s="47"/>
      <c r="C283" s="48"/>
      <c r="D283" s="48"/>
      <c r="E283" s="48"/>
      <c r="F283" s="48"/>
      <c r="G283" s="48"/>
      <c r="H283" s="48"/>
      <c r="I283" s="48"/>
      <c r="J283" s="48"/>
      <c r="K283" s="48"/>
      <c r="L283" s="48"/>
      <c r="M283" s="48"/>
      <c r="N283" s="48"/>
      <c r="O283" s="48"/>
      <c r="P283" s="48"/>
      <c r="Q283" s="48"/>
    </row>
    <row r="284" spans="2:17" s="46" customFormat="1" ht="15" customHeight="1">
      <c r="B284" s="47"/>
      <c r="C284" s="48"/>
      <c r="D284" s="48"/>
      <c r="E284" s="48"/>
      <c r="F284" s="48"/>
      <c r="G284" s="48"/>
      <c r="H284" s="48"/>
      <c r="I284" s="48"/>
      <c r="J284" s="48"/>
      <c r="K284" s="48"/>
      <c r="L284" s="48"/>
      <c r="M284" s="48"/>
      <c r="N284" s="48"/>
      <c r="O284" s="48"/>
      <c r="P284" s="48"/>
      <c r="Q284" s="48"/>
    </row>
    <row r="285" spans="2:17" s="46" customFormat="1" ht="15" customHeight="1">
      <c r="B285" s="47"/>
      <c r="C285" s="48"/>
      <c r="D285" s="48"/>
      <c r="E285" s="48"/>
      <c r="F285" s="48"/>
      <c r="G285" s="48"/>
      <c r="H285" s="48"/>
      <c r="I285" s="48"/>
      <c r="J285" s="48"/>
      <c r="K285" s="48"/>
      <c r="L285" s="48"/>
      <c r="M285" s="48"/>
      <c r="N285" s="48"/>
      <c r="O285" s="48"/>
      <c r="P285" s="48"/>
      <c r="Q285" s="48"/>
    </row>
    <row r="286" spans="2:17" s="46" customFormat="1" ht="15" customHeight="1">
      <c r="B286" s="47"/>
      <c r="C286" s="48"/>
      <c r="D286" s="48"/>
      <c r="E286" s="48"/>
      <c r="F286" s="48"/>
      <c r="G286" s="48"/>
      <c r="H286" s="48"/>
      <c r="I286" s="48"/>
      <c r="J286" s="48"/>
      <c r="K286" s="48"/>
      <c r="L286" s="48"/>
      <c r="M286" s="48"/>
      <c r="N286" s="48"/>
      <c r="O286" s="48"/>
      <c r="P286" s="48"/>
      <c r="Q286" s="48"/>
    </row>
    <row r="287" spans="2:17" s="46" customFormat="1" ht="15" customHeight="1">
      <c r="B287" s="47"/>
      <c r="C287" s="48"/>
      <c r="D287" s="48"/>
      <c r="E287" s="48"/>
      <c r="F287" s="48"/>
      <c r="G287" s="48"/>
      <c r="H287" s="48"/>
      <c r="I287" s="48"/>
      <c r="J287" s="48"/>
      <c r="K287" s="48"/>
      <c r="L287" s="48"/>
      <c r="M287" s="48"/>
      <c r="N287" s="48"/>
      <c r="O287" s="48"/>
      <c r="P287" s="48"/>
      <c r="Q287" s="48"/>
    </row>
    <row r="288" spans="2:17" s="46" customFormat="1" ht="15" customHeight="1">
      <c r="B288" s="47"/>
      <c r="C288" s="48"/>
      <c r="D288" s="48"/>
      <c r="E288" s="48"/>
      <c r="F288" s="48"/>
      <c r="G288" s="48"/>
      <c r="H288" s="48"/>
      <c r="I288" s="48"/>
      <c r="J288" s="48"/>
      <c r="K288" s="48"/>
      <c r="L288" s="48"/>
      <c r="M288" s="48"/>
      <c r="N288" s="48"/>
      <c r="O288" s="48"/>
      <c r="P288" s="48"/>
      <c r="Q288" s="48"/>
    </row>
    <row r="289" spans="2:17" s="46" customFormat="1" ht="15" customHeight="1">
      <c r="B289" s="47"/>
      <c r="C289" s="48"/>
      <c r="D289" s="48"/>
      <c r="E289" s="48"/>
      <c r="F289" s="48"/>
      <c r="G289" s="48"/>
      <c r="H289" s="48"/>
      <c r="I289" s="48"/>
      <c r="J289" s="48"/>
      <c r="K289" s="48"/>
      <c r="L289" s="48"/>
      <c r="M289" s="48"/>
      <c r="N289" s="48"/>
      <c r="O289" s="48"/>
      <c r="P289" s="48"/>
      <c r="Q289" s="48"/>
    </row>
    <row r="290" spans="2:17" s="46" customFormat="1" ht="15" customHeight="1">
      <c r="B290" s="47"/>
      <c r="C290" s="48"/>
      <c r="D290" s="48"/>
      <c r="E290" s="48"/>
      <c r="F290" s="48"/>
      <c r="G290" s="48"/>
      <c r="H290" s="48"/>
      <c r="I290" s="48"/>
      <c r="J290" s="48"/>
      <c r="K290" s="48"/>
      <c r="L290" s="48"/>
      <c r="M290" s="48"/>
      <c r="N290" s="48"/>
      <c r="O290" s="48"/>
      <c r="P290" s="48"/>
      <c r="Q290" s="48"/>
    </row>
    <row r="291" spans="2:17" s="46" customFormat="1" ht="15" customHeight="1">
      <c r="B291" s="47"/>
      <c r="C291" s="48"/>
      <c r="D291" s="48"/>
      <c r="E291" s="48"/>
      <c r="F291" s="48"/>
      <c r="G291" s="48"/>
      <c r="H291" s="48"/>
      <c r="I291" s="48"/>
      <c r="J291" s="48"/>
      <c r="K291" s="48"/>
      <c r="L291" s="48"/>
      <c r="M291" s="48"/>
      <c r="N291" s="48"/>
      <c r="O291" s="48"/>
      <c r="P291" s="48"/>
      <c r="Q291" s="48"/>
    </row>
    <row r="292" spans="2:17" s="46" customFormat="1" ht="15" customHeight="1">
      <c r="B292" s="47"/>
      <c r="C292" s="48"/>
      <c r="D292" s="48"/>
      <c r="E292" s="48"/>
      <c r="F292" s="48"/>
      <c r="G292" s="48"/>
      <c r="H292" s="48"/>
      <c r="I292" s="48"/>
      <c r="J292" s="48"/>
      <c r="K292" s="48"/>
      <c r="L292" s="48"/>
      <c r="M292" s="48"/>
      <c r="N292" s="48"/>
      <c r="O292" s="48"/>
      <c r="P292" s="48"/>
      <c r="Q292" s="48"/>
    </row>
    <row r="293" spans="2:17" s="46" customFormat="1" ht="15" customHeight="1">
      <c r="B293" s="47"/>
      <c r="C293" s="48"/>
      <c r="D293" s="48"/>
      <c r="E293" s="48"/>
      <c r="F293" s="48"/>
      <c r="G293" s="48"/>
      <c r="H293" s="48"/>
      <c r="I293" s="48"/>
      <c r="J293" s="48"/>
      <c r="K293" s="48"/>
      <c r="L293" s="48"/>
      <c r="M293" s="48"/>
      <c r="N293" s="48"/>
      <c r="O293" s="48"/>
      <c r="P293" s="48"/>
      <c r="Q293" s="48"/>
    </row>
    <row r="294" spans="2:17" s="46" customFormat="1" ht="15" customHeight="1">
      <c r="B294" s="47"/>
      <c r="C294" s="48"/>
      <c r="D294" s="48"/>
      <c r="E294" s="48"/>
      <c r="F294" s="48"/>
      <c r="G294" s="48"/>
      <c r="H294" s="48"/>
      <c r="I294" s="48"/>
      <c r="J294" s="48"/>
      <c r="K294" s="48"/>
      <c r="L294" s="48"/>
      <c r="M294" s="48"/>
      <c r="N294" s="48"/>
      <c r="O294" s="48"/>
      <c r="P294" s="48"/>
      <c r="Q294" s="48"/>
    </row>
    <row r="295" spans="2:17" s="46" customFormat="1" ht="15" customHeight="1">
      <c r="B295" s="47"/>
      <c r="C295" s="48"/>
      <c r="D295" s="48"/>
      <c r="E295" s="48"/>
      <c r="F295" s="48"/>
      <c r="G295" s="48"/>
      <c r="H295" s="48"/>
      <c r="I295" s="48"/>
      <c r="J295" s="48"/>
      <c r="K295" s="48"/>
      <c r="L295" s="48"/>
      <c r="M295" s="48"/>
      <c r="N295" s="48"/>
      <c r="O295" s="48"/>
      <c r="P295" s="48"/>
      <c r="Q295" s="48"/>
    </row>
    <row r="296" spans="2:17" s="46" customFormat="1" ht="15" customHeight="1">
      <c r="B296" s="47"/>
      <c r="C296" s="48"/>
      <c r="D296" s="48"/>
      <c r="E296" s="48"/>
      <c r="F296" s="48"/>
      <c r="G296" s="48"/>
      <c r="H296" s="48"/>
      <c r="I296" s="48"/>
      <c r="J296" s="48"/>
      <c r="K296" s="48"/>
      <c r="L296" s="48"/>
      <c r="M296" s="48"/>
      <c r="N296" s="48"/>
      <c r="O296" s="48"/>
      <c r="P296" s="48"/>
      <c r="Q296" s="48"/>
    </row>
    <row r="297" spans="2:17" s="46" customFormat="1" ht="15" customHeight="1">
      <c r="B297" s="47"/>
      <c r="C297" s="48"/>
      <c r="D297" s="48"/>
      <c r="E297" s="48"/>
      <c r="F297" s="48"/>
      <c r="G297" s="48"/>
      <c r="H297" s="48"/>
      <c r="I297" s="48"/>
      <c r="J297" s="48"/>
      <c r="K297" s="48"/>
      <c r="L297" s="48"/>
      <c r="M297" s="48"/>
      <c r="N297" s="48"/>
      <c r="O297" s="48"/>
      <c r="P297" s="48"/>
      <c r="Q297" s="48"/>
    </row>
    <row r="298" spans="2:17" s="46" customFormat="1" ht="15" customHeight="1">
      <c r="B298" s="47"/>
      <c r="C298" s="48"/>
      <c r="D298" s="48"/>
      <c r="E298" s="48"/>
      <c r="F298" s="48"/>
      <c r="G298" s="48"/>
      <c r="H298" s="48"/>
      <c r="I298" s="48"/>
      <c r="J298" s="48"/>
      <c r="K298" s="48"/>
      <c r="L298" s="48"/>
      <c r="M298" s="48"/>
      <c r="N298" s="48"/>
      <c r="O298" s="48"/>
      <c r="P298" s="48"/>
      <c r="Q298" s="48"/>
    </row>
    <row r="299" spans="2:17" s="46" customFormat="1" ht="15" customHeight="1">
      <c r="B299" s="47"/>
      <c r="C299" s="48"/>
      <c r="D299" s="48"/>
      <c r="E299" s="48"/>
      <c r="F299" s="48"/>
      <c r="G299" s="48"/>
      <c r="H299" s="48"/>
      <c r="I299" s="48"/>
      <c r="J299" s="48"/>
      <c r="K299" s="48"/>
      <c r="L299" s="48"/>
      <c r="M299" s="48"/>
      <c r="N299" s="48"/>
      <c r="O299" s="48"/>
      <c r="P299" s="48"/>
      <c r="Q299" s="48"/>
    </row>
    <row r="300" spans="2:17" s="46" customFormat="1" ht="15" customHeight="1">
      <c r="B300" s="47"/>
      <c r="C300" s="48"/>
      <c r="D300" s="48"/>
      <c r="E300" s="48"/>
      <c r="F300" s="48"/>
      <c r="G300" s="48"/>
      <c r="H300" s="48"/>
      <c r="I300" s="48"/>
      <c r="J300" s="48"/>
      <c r="K300" s="48"/>
      <c r="L300" s="48"/>
      <c r="M300" s="48"/>
      <c r="N300" s="48"/>
      <c r="O300" s="48"/>
      <c r="P300" s="48"/>
      <c r="Q300" s="48"/>
    </row>
    <row r="301" spans="2:17" s="46" customFormat="1" ht="15" customHeight="1">
      <c r="B301" s="47"/>
      <c r="C301" s="48"/>
      <c r="D301" s="48"/>
      <c r="E301" s="48"/>
      <c r="F301" s="48"/>
      <c r="G301" s="48"/>
      <c r="H301" s="48"/>
      <c r="I301" s="48"/>
      <c r="J301" s="48"/>
      <c r="K301" s="48"/>
      <c r="L301" s="48"/>
      <c r="M301" s="48"/>
      <c r="N301" s="48"/>
      <c r="O301" s="48"/>
      <c r="P301" s="48"/>
      <c r="Q301" s="48"/>
    </row>
    <row r="302" spans="2:17" s="46" customFormat="1" ht="15" customHeight="1">
      <c r="B302" s="47"/>
      <c r="C302" s="48"/>
      <c r="D302" s="48"/>
      <c r="E302" s="48"/>
      <c r="F302" s="48"/>
      <c r="G302" s="48"/>
      <c r="H302" s="48"/>
      <c r="I302" s="48"/>
      <c r="J302" s="48"/>
      <c r="K302" s="48"/>
      <c r="L302" s="48"/>
      <c r="M302" s="48"/>
      <c r="N302" s="48"/>
      <c r="O302" s="48"/>
      <c r="P302" s="48"/>
      <c r="Q302" s="48"/>
    </row>
    <row r="303" spans="2:17" s="46" customFormat="1" ht="15" customHeight="1">
      <c r="B303" s="47"/>
      <c r="C303" s="48"/>
      <c r="D303" s="48"/>
      <c r="E303" s="48"/>
      <c r="F303" s="48"/>
      <c r="G303" s="48"/>
      <c r="H303" s="48"/>
      <c r="I303" s="48"/>
      <c r="J303" s="48"/>
      <c r="K303" s="48"/>
      <c r="L303" s="48"/>
      <c r="M303" s="48"/>
      <c r="N303" s="48"/>
      <c r="O303" s="48"/>
      <c r="P303" s="48"/>
      <c r="Q303" s="48"/>
    </row>
    <row r="304" spans="2:17" s="46" customFormat="1" ht="15" customHeight="1">
      <c r="B304" s="47"/>
      <c r="C304" s="48"/>
      <c r="D304" s="48"/>
      <c r="E304" s="48"/>
      <c r="F304" s="48"/>
      <c r="G304" s="48"/>
      <c r="H304" s="48"/>
      <c r="I304" s="48"/>
      <c r="J304" s="48"/>
      <c r="K304" s="48"/>
      <c r="L304" s="48"/>
      <c r="M304" s="48"/>
      <c r="N304" s="48"/>
      <c r="O304" s="48"/>
      <c r="P304" s="48"/>
      <c r="Q304" s="48"/>
    </row>
    <row r="305" spans="2:17" s="46" customFormat="1" ht="15" customHeight="1">
      <c r="B305" s="47"/>
      <c r="C305" s="48"/>
      <c r="D305" s="48"/>
      <c r="E305" s="48"/>
      <c r="F305" s="48"/>
      <c r="G305" s="48"/>
      <c r="H305" s="48"/>
      <c r="I305" s="48"/>
      <c r="J305" s="48"/>
      <c r="K305" s="48"/>
      <c r="L305" s="48"/>
      <c r="M305" s="48"/>
      <c r="N305" s="48"/>
      <c r="O305" s="48"/>
      <c r="P305" s="48"/>
      <c r="Q305" s="48"/>
    </row>
    <row r="306" spans="2:17" s="46" customFormat="1" ht="15" customHeight="1">
      <c r="B306" s="47"/>
      <c r="C306" s="48"/>
      <c r="D306" s="48"/>
      <c r="E306" s="48"/>
      <c r="F306" s="48"/>
      <c r="G306" s="48"/>
      <c r="H306" s="48"/>
      <c r="I306" s="48"/>
      <c r="J306" s="48"/>
      <c r="K306" s="48"/>
      <c r="L306" s="48"/>
      <c r="M306" s="48"/>
      <c r="N306" s="48"/>
      <c r="O306" s="48"/>
      <c r="P306" s="48"/>
      <c r="Q306" s="48"/>
    </row>
    <row r="307" spans="2:17" s="46" customFormat="1" ht="15" customHeight="1">
      <c r="B307" s="47"/>
      <c r="C307" s="48"/>
      <c r="D307" s="48"/>
      <c r="E307" s="48"/>
      <c r="F307" s="48"/>
      <c r="G307" s="48"/>
      <c r="H307" s="48"/>
      <c r="I307" s="48"/>
      <c r="J307" s="48"/>
      <c r="K307" s="48"/>
      <c r="L307" s="48"/>
      <c r="M307" s="48"/>
      <c r="N307" s="48"/>
      <c r="O307" s="48"/>
      <c r="P307" s="48"/>
      <c r="Q307" s="48"/>
    </row>
    <row r="308" spans="2:17" s="46" customFormat="1" ht="15" customHeight="1">
      <c r="B308" s="47"/>
      <c r="C308" s="48"/>
      <c r="D308" s="48"/>
      <c r="E308" s="48"/>
      <c r="F308" s="48"/>
      <c r="G308" s="48"/>
      <c r="H308" s="48"/>
      <c r="I308" s="48"/>
      <c r="J308" s="48"/>
      <c r="K308" s="48"/>
      <c r="L308" s="48"/>
      <c r="M308" s="48"/>
      <c r="N308" s="48"/>
      <c r="O308" s="48"/>
      <c r="P308" s="48"/>
      <c r="Q308" s="48"/>
    </row>
    <row r="309" spans="2:17" s="46" customFormat="1" ht="15" customHeight="1">
      <c r="B309" s="47"/>
      <c r="C309" s="48"/>
      <c r="D309" s="48"/>
      <c r="E309" s="48"/>
      <c r="F309" s="48"/>
      <c r="G309" s="48"/>
      <c r="H309" s="48"/>
      <c r="I309" s="48"/>
      <c r="J309" s="48"/>
      <c r="K309" s="48"/>
      <c r="L309" s="48"/>
      <c r="M309" s="48"/>
      <c r="N309" s="48"/>
      <c r="O309" s="48"/>
      <c r="P309" s="48"/>
      <c r="Q309" s="48"/>
    </row>
    <row r="310" spans="2:17" s="46" customFormat="1" ht="15" customHeight="1">
      <c r="B310" s="47"/>
      <c r="C310" s="48"/>
      <c r="D310" s="48"/>
      <c r="E310" s="48"/>
      <c r="F310" s="48"/>
      <c r="G310" s="48"/>
      <c r="H310" s="48"/>
      <c r="I310" s="48"/>
      <c r="J310" s="48"/>
      <c r="K310" s="48"/>
      <c r="L310" s="48"/>
      <c r="M310" s="48"/>
      <c r="N310" s="48"/>
      <c r="O310" s="48"/>
      <c r="P310" s="48"/>
      <c r="Q310" s="48"/>
    </row>
    <row r="311" spans="2:17" s="46" customFormat="1" ht="15" customHeight="1">
      <c r="B311" s="47"/>
      <c r="C311" s="48"/>
      <c r="D311" s="48"/>
      <c r="E311" s="48"/>
      <c r="F311" s="48"/>
      <c r="G311" s="48"/>
      <c r="H311" s="48"/>
      <c r="I311" s="48"/>
      <c r="J311" s="48"/>
      <c r="K311" s="48"/>
      <c r="L311" s="48"/>
      <c r="M311" s="48"/>
      <c r="N311" s="48"/>
      <c r="O311" s="48"/>
      <c r="P311" s="48"/>
      <c r="Q311" s="48"/>
    </row>
    <row r="312" spans="2:17" s="46" customFormat="1" ht="15" customHeight="1">
      <c r="B312" s="47"/>
      <c r="C312" s="48"/>
      <c r="D312" s="48"/>
      <c r="E312" s="48"/>
      <c r="F312" s="48"/>
      <c r="G312" s="48"/>
      <c r="H312" s="48"/>
      <c r="I312" s="48"/>
      <c r="J312" s="48"/>
      <c r="K312" s="48"/>
      <c r="L312" s="48"/>
      <c r="M312" s="48"/>
      <c r="N312" s="48"/>
      <c r="O312" s="48"/>
      <c r="P312" s="48"/>
      <c r="Q312" s="48"/>
    </row>
    <row r="313" spans="2:17" s="46" customFormat="1" ht="15" customHeight="1">
      <c r="B313" s="47"/>
      <c r="C313" s="48"/>
      <c r="D313" s="48"/>
      <c r="E313" s="48"/>
      <c r="F313" s="48"/>
      <c r="G313" s="48"/>
      <c r="H313" s="48"/>
      <c r="I313" s="48"/>
      <c r="J313" s="48"/>
      <c r="K313" s="48"/>
      <c r="L313" s="48"/>
      <c r="M313" s="48"/>
      <c r="N313" s="48"/>
      <c r="O313" s="48"/>
      <c r="P313" s="48"/>
      <c r="Q313" s="48"/>
    </row>
    <row r="314" spans="2:17" s="46" customFormat="1" ht="15" customHeight="1">
      <c r="B314" s="47"/>
      <c r="C314" s="48"/>
      <c r="D314" s="48"/>
      <c r="E314" s="48"/>
      <c r="F314" s="48"/>
      <c r="G314" s="48"/>
      <c r="H314" s="48"/>
      <c r="I314" s="48"/>
      <c r="J314" s="48"/>
      <c r="K314" s="48"/>
      <c r="L314" s="48"/>
      <c r="M314" s="48"/>
      <c r="N314" s="48"/>
      <c r="O314" s="48"/>
      <c r="P314" s="48"/>
      <c r="Q314" s="48"/>
    </row>
    <row r="315" spans="2:17" s="46" customFormat="1" ht="15" customHeight="1">
      <c r="B315" s="47"/>
      <c r="C315" s="48"/>
      <c r="D315" s="48"/>
      <c r="E315" s="48"/>
      <c r="F315" s="48"/>
      <c r="G315" s="48"/>
      <c r="H315" s="48"/>
      <c r="I315" s="48"/>
      <c r="J315" s="48"/>
      <c r="K315" s="48"/>
      <c r="L315" s="48"/>
      <c r="M315" s="48"/>
      <c r="N315" s="48"/>
      <c r="O315" s="48"/>
      <c r="P315" s="48"/>
      <c r="Q315" s="48"/>
    </row>
    <row r="316" spans="2:17" s="46" customFormat="1" ht="15" customHeight="1">
      <c r="B316" s="47"/>
      <c r="C316" s="48"/>
      <c r="D316" s="48"/>
      <c r="E316" s="48"/>
      <c r="F316" s="48"/>
      <c r="G316" s="48"/>
      <c r="H316" s="48"/>
      <c r="I316" s="48"/>
      <c r="J316" s="48"/>
      <c r="K316" s="48"/>
      <c r="L316" s="48"/>
      <c r="M316" s="48"/>
      <c r="N316" s="48"/>
      <c r="O316" s="48"/>
      <c r="P316" s="48"/>
      <c r="Q316" s="48"/>
    </row>
    <row r="317" spans="2:17" s="46" customFormat="1" ht="15" customHeight="1">
      <c r="B317" s="47"/>
      <c r="C317" s="48"/>
      <c r="D317" s="48"/>
      <c r="E317" s="48"/>
      <c r="F317" s="48"/>
      <c r="G317" s="48"/>
      <c r="H317" s="48"/>
      <c r="I317" s="48"/>
      <c r="J317" s="48"/>
      <c r="K317" s="48"/>
      <c r="L317" s="48"/>
      <c r="M317" s="48"/>
      <c r="N317" s="48"/>
      <c r="O317" s="48"/>
      <c r="P317" s="48"/>
      <c r="Q317" s="48"/>
    </row>
    <row r="318" spans="2:17" s="46" customFormat="1" ht="15" customHeight="1">
      <c r="B318" s="47"/>
      <c r="C318" s="48"/>
      <c r="D318" s="48"/>
      <c r="E318" s="48"/>
      <c r="F318" s="48"/>
      <c r="G318" s="48"/>
      <c r="H318" s="48"/>
      <c r="I318" s="48"/>
      <c r="J318" s="48"/>
      <c r="K318" s="48"/>
      <c r="L318" s="48"/>
      <c r="M318" s="48"/>
      <c r="N318" s="48"/>
      <c r="O318" s="48"/>
      <c r="P318" s="48"/>
      <c r="Q318" s="48"/>
    </row>
    <row r="319" spans="2:17" s="46" customFormat="1" ht="15" customHeight="1">
      <c r="B319" s="47"/>
      <c r="C319" s="48"/>
      <c r="D319" s="48"/>
      <c r="E319" s="48"/>
      <c r="F319" s="48"/>
      <c r="G319" s="48"/>
      <c r="H319" s="48"/>
      <c r="I319" s="48"/>
      <c r="J319" s="48"/>
      <c r="K319" s="48"/>
      <c r="L319" s="48"/>
      <c r="M319" s="48"/>
      <c r="N319" s="48"/>
      <c r="O319" s="48"/>
      <c r="P319" s="48"/>
      <c r="Q319" s="48"/>
    </row>
    <row r="320" spans="2:17" s="46" customFormat="1" ht="15" customHeight="1">
      <c r="B320" s="47"/>
      <c r="C320" s="48"/>
      <c r="D320" s="48"/>
      <c r="E320" s="48"/>
      <c r="F320" s="48"/>
      <c r="G320" s="48"/>
      <c r="H320" s="48"/>
      <c r="I320" s="48"/>
      <c r="J320" s="48"/>
      <c r="K320" s="48"/>
      <c r="L320" s="48"/>
      <c r="M320" s="48"/>
      <c r="N320" s="48"/>
      <c r="O320" s="48"/>
      <c r="P320" s="48"/>
      <c r="Q320" s="48"/>
    </row>
    <row r="321" spans="2:17" s="46" customFormat="1" ht="15" customHeight="1">
      <c r="B321" s="47"/>
      <c r="C321" s="48"/>
      <c r="D321" s="48"/>
      <c r="E321" s="48"/>
      <c r="F321" s="48"/>
      <c r="G321" s="48"/>
      <c r="H321" s="48"/>
      <c r="I321" s="48"/>
      <c r="J321" s="48"/>
      <c r="K321" s="48"/>
      <c r="L321" s="48"/>
      <c r="M321" s="48"/>
      <c r="N321" s="48"/>
      <c r="O321" s="48"/>
      <c r="P321" s="48"/>
      <c r="Q321" s="48"/>
    </row>
    <row r="322" spans="2:17" s="46" customFormat="1" ht="15" customHeight="1">
      <c r="B322" s="47"/>
      <c r="C322" s="48"/>
      <c r="D322" s="48"/>
      <c r="E322" s="48"/>
      <c r="F322" s="48"/>
      <c r="G322" s="48"/>
      <c r="H322" s="48"/>
      <c r="I322" s="48"/>
      <c r="J322" s="48"/>
      <c r="K322" s="48"/>
      <c r="L322" s="48"/>
      <c r="M322" s="48"/>
      <c r="N322" s="48"/>
      <c r="O322" s="48"/>
      <c r="P322" s="48"/>
      <c r="Q322" s="48"/>
    </row>
    <row r="323" spans="2:17" s="46" customFormat="1" ht="15" customHeight="1">
      <c r="B323" s="47"/>
      <c r="C323" s="48"/>
      <c r="D323" s="48"/>
      <c r="E323" s="48"/>
      <c r="F323" s="48"/>
      <c r="G323" s="48"/>
      <c r="H323" s="48"/>
      <c r="I323" s="48"/>
      <c r="J323" s="48"/>
      <c r="K323" s="48"/>
      <c r="L323" s="48"/>
      <c r="M323" s="48"/>
      <c r="N323" s="48"/>
      <c r="O323" s="48"/>
      <c r="P323" s="48"/>
      <c r="Q323" s="48"/>
    </row>
    <row r="324" spans="2:17" s="46" customFormat="1" ht="15" customHeight="1">
      <c r="B324" s="47"/>
      <c r="C324" s="48"/>
      <c r="D324" s="48"/>
      <c r="E324" s="48"/>
      <c r="F324" s="48"/>
      <c r="G324" s="48"/>
      <c r="H324" s="48"/>
      <c r="I324" s="48"/>
      <c r="J324" s="48"/>
      <c r="K324" s="48"/>
      <c r="L324" s="48"/>
      <c r="M324" s="48"/>
      <c r="N324" s="48"/>
      <c r="O324" s="48"/>
      <c r="P324" s="48"/>
      <c r="Q324" s="48"/>
    </row>
    <row r="325" spans="2:17" s="46" customFormat="1" ht="15" customHeight="1">
      <c r="B325" s="47"/>
      <c r="C325" s="48"/>
      <c r="D325" s="48"/>
      <c r="E325" s="48"/>
      <c r="F325" s="48"/>
      <c r="G325" s="48"/>
      <c r="H325" s="48"/>
      <c r="I325" s="48"/>
      <c r="J325" s="48"/>
      <c r="K325" s="48"/>
      <c r="L325" s="48"/>
      <c r="M325" s="48"/>
      <c r="N325" s="48"/>
      <c r="O325" s="48"/>
      <c r="P325" s="48"/>
      <c r="Q325" s="48"/>
    </row>
    <row r="326" spans="2:17" s="46" customFormat="1" ht="15" customHeight="1">
      <c r="B326" s="47"/>
      <c r="C326" s="48"/>
      <c r="D326" s="48"/>
      <c r="E326" s="48"/>
      <c r="F326" s="48"/>
      <c r="G326" s="48"/>
      <c r="H326" s="48"/>
      <c r="I326" s="48"/>
      <c r="J326" s="48"/>
      <c r="K326" s="48"/>
      <c r="L326" s="48"/>
      <c r="M326" s="48"/>
      <c r="N326" s="48"/>
      <c r="O326" s="48"/>
      <c r="P326" s="48"/>
      <c r="Q326" s="48"/>
    </row>
    <row r="327" spans="2:17" s="46" customFormat="1" ht="15" customHeight="1">
      <c r="B327" s="47"/>
      <c r="C327" s="48"/>
      <c r="D327" s="48"/>
      <c r="E327" s="48"/>
      <c r="F327" s="48"/>
      <c r="G327" s="48"/>
      <c r="H327" s="48"/>
      <c r="I327" s="48"/>
      <c r="J327" s="48"/>
      <c r="K327" s="48"/>
      <c r="L327" s="48"/>
      <c r="M327" s="48"/>
      <c r="N327" s="48"/>
      <c r="O327" s="48"/>
      <c r="P327" s="48"/>
      <c r="Q327" s="48"/>
    </row>
    <row r="328" spans="2:17" s="46" customFormat="1" ht="15" customHeight="1">
      <c r="B328" s="47"/>
      <c r="C328" s="48"/>
      <c r="D328" s="48"/>
      <c r="E328" s="48"/>
      <c r="F328" s="48"/>
      <c r="G328" s="48"/>
      <c r="H328" s="48"/>
      <c r="I328" s="48"/>
      <c r="J328" s="48"/>
      <c r="K328" s="48"/>
      <c r="L328" s="48"/>
      <c r="M328" s="48"/>
      <c r="N328" s="48"/>
      <c r="O328" s="48"/>
      <c r="P328" s="48"/>
      <c r="Q328" s="48"/>
    </row>
    <row r="329" spans="2:17" s="46" customFormat="1" ht="15" customHeight="1">
      <c r="B329" s="47"/>
      <c r="C329" s="48"/>
      <c r="D329" s="48"/>
      <c r="E329" s="48"/>
      <c r="F329" s="48"/>
      <c r="G329" s="48"/>
      <c r="H329" s="48"/>
      <c r="I329" s="48"/>
      <c r="J329" s="48"/>
      <c r="K329" s="48"/>
      <c r="L329" s="48"/>
      <c r="M329" s="48"/>
      <c r="N329" s="48"/>
      <c r="O329" s="48"/>
      <c r="P329" s="48"/>
      <c r="Q329" s="48"/>
    </row>
    <row r="330" spans="2:17" s="46" customFormat="1" ht="15" customHeight="1">
      <c r="B330" s="47"/>
      <c r="C330" s="48"/>
      <c r="D330" s="48"/>
      <c r="E330" s="48"/>
      <c r="F330" s="48"/>
      <c r="G330" s="48"/>
      <c r="H330" s="48"/>
      <c r="I330" s="48"/>
      <c r="J330" s="48"/>
      <c r="K330" s="48"/>
      <c r="L330" s="48"/>
      <c r="M330" s="48"/>
      <c r="N330" s="48"/>
      <c r="O330" s="48"/>
      <c r="P330" s="48"/>
      <c r="Q330" s="48"/>
    </row>
    <row r="331" spans="2:17" s="46" customFormat="1" ht="15" customHeight="1">
      <c r="B331" s="47"/>
      <c r="C331" s="48"/>
      <c r="D331" s="48"/>
      <c r="E331" s="48"/>
      <c r="F331" s="48"/>
      <c r="G331" s="48"/>
      <c r="H331" s="48"/>
      <c r="I331" s="48"/>
      <c r="J331" s="48"/>
      <c r="K331" s="48"/>
      <c r="L331" s="48"/>
      <c r="M331" s="48"/>
      <c r="N331" s="48"/>
      <c r="O331" s="48"/>
      <c r="P331" s="48"/>
      <c r="Q331" s="48"/>
    </row>
    <row r="332" spans="2:17" s="46" customFormat="1" ht="15" customHeight="1">
      <c r="B332" s="47"/>
      <c r="C332" s="48"/>
      <c r="D332" s="48"/>
      <c r="E332" s="48"/>
      <c r="F332" s="48"/>
      <c r="G332" s="48"/>
      <c r="H332" s="48"/>
      <c r="I332" s="48"/>
      <c r="J332" s="48"/>
      <c r="K332" s="48"/>
      <c r="L332" s="48"/>
      <c r="M332" s="48"/>
      <c r="N332" s="48"/>
      <c r="O332" s="48"/>
      <c r="P332" s="48"/>
      <c r="Q332" s="48"/>
    </row>
    <row r="333" spans="2:17" s="46" customFormat="1" ht="15" customHeight="1">
      <c r="B333" s="47"/>
      <c r="C333" s="48"/>
      <c r="D333" s="48"/>
      <c r="E333" s="48"/>
      <c r="F333" s="48"/>
      <c r="G333" s="48"/>
      <c r="H333" s="48"/>
      <c r="I333" s="48"/>
      <c r="J333" s="48"/>
      <c r="K333" s="48"/>
      <c r="L333" s="48"/>
      <c r="M333" s="48"/>
      <c r="N333" s="48"/>
      <c r="O333" s="48"/>
      <c r="P333" s="48"/>
      <c r="Q333" s="48"/>
    </row>
    <row r="334" spans="2:17" s="46" customFormat="1" ht="15" customHeight="1">
      <c r="B334" s="47"/>
      <c r="C334" s="48"/>
      <c r="D334" s="48"/>
      <c r="E334" s="48"/>
      <c r="F334" s="48"/>
      <c r="G334" s="48"/>
      <c r="H334" s="48"/>
      <c r="I334" s="48"/>
      <c r="J334" s="48"/>
      <c r="K334" s="48"/>
      <c r="L334" s="48"/>
      <c r="M334" s="48"/>
      <c r="N334" s="48"/>
      <c r="O334" s="48"/>
      <c r="P334" s="48"/>
      <c r="Q334" s="48"/>
    </row>
    <row r="335" spans="2:17" s="46" customFormat="1" ht="15" customHeight="1">
      <c r="B335" s="47"/>
      <c r="C335" s="48"/>
      <c r="D335" s="48"/>
      <c r="E335" s="48"/>
      <c r="F335" s="48"/>
      <c r="G335" s="48"/>
      <c r="H335" s="48"/>
      <c r="I335" s="48"/>
      <c r="J335" s="48"/>
      <c r="K335" s="48"/>
      <c r="L335" s="48"/>
      <c r="M335" s="48"/>
      <c r="N335" s="48"/>
      <c r="O335" s="48"/>
      <c r="P335" s="48"/>
      <c r="Q335" s="48"/>
    </row>
    <row r="336" spans="2:17" s="46" customFormat="1" ht="15" customHeight="1">
      <c r="B336" s="47"/>
      <c r="C336" s="48"/>
      <c r="D336" s="48"/>
      <c r="E336" s="48"/>
      <c r="F336" s="48"/>
      <c r="G336" s="48"/>
      <c r="H336" s="48"/>
      <c r="I336" s="48"/>
      <c r="J336" s="48"/>
      <c r="K336" s="48"/>
      <c r="L336" s="48"/>
      <c r="M336" s="48"/>
      <c r="N336" s="48"/>
      <c r="O336" s="48"/>
      <c r="P336" s="48"/>
      <c r="Q336" s="48"/>
    </row>
    <row r="337" spans="2:17" s="46" customFormat="1" ht="15" customHeight="1">
      <c r="B337" s="47"/>
      <c r="C337" s="48"/>
      <c r="D337" s="48"/>
      <c r="E337" s="48"/>
      <c r="F337" s="48"/>
      <c r="G337" s="48"/>
      <c r="H337" s="48"/>
      <c r="I337" s="48"/>
      <c r="J337" s="48"/>
      <c r="K337" s="48"/>
      <c r="L337" s="48"/>
      <c r="M337" s="48"/>
      <c r="N337" s="48"/>
      <c r="O337" s="48"/>
      <c r="P337" s="48"/>
      <c r="Q337" s="48"/>
    </row>
    <row r="338" spans="2:17" s="46" customFormat="1" ht="15" customHeight="1">
      <c r="B338" s="47"/>
      <c r="C338" s="48"/>
      <c r="D338" s="48"/>
      <c r="E338" s="48"/>
      <c r="F338" s="48"/>
      <c r="G338" s="48"/>
      <c r="H338" s="48"/>
      <c r="I338" s="48"/>
      <c r="J338" s="48"/>
      <c r="K338" s="48"/>
      <c r="L338" s="48"/>
      <c r="M338" s="48"/>
      <c r="N338" s="48"/>
      <c r="O338" s="48"/>
      <c r="P338" s="48"/>
      <c r="Q338" s="48"/>
    </row>
    <row r="339" spans="2:17" s="46" customFormat="1" ht="15" customHeight="1">
      <c r="B339" s="47"/>
      <c r="C339" s="48"/>
      <c r="D339" s="48"/>
      <c r="E339" s="48"/>
      <c r="F339" s="48"/>
      <c r="G339" s="48"/>
      <c r="H339" s="48"/>
      <c r="I339" s="48"/>
      <c r="J339" s="48"/>
      <c r="K339" s="48"/>
      <c r="L339" s="48"/>
      <c r="M339" s="48"/>
      <c r="N339" s="48"/>
      <c r="O339" s="48"/>
      <c r="P339" s="48"/>
      <c r="Q339" s="48"/>
    </row>
    <row r="340" spans="2:17" s="46" customFormat="1" ht="15" customHeight="1">
      <c r="B340" s="47"/>
      <c r="C340" s="48"/>
      <c r="D340" s="48"/>
      <c r="E340" s="48"/>
      <c r="F340" s="48"/>
      <c r="G340" s="48"/>
      <c r="H340" s="48"/>
      <c r="I340" s="48"/>
      <c r="J340" s="48"/>
      <c r="K340" s="48"/>
      <c r="L340" s="48"/>
      <c r="M340" s="48"/>
      <c r="N340" s="48"/>
      <c r="O340" s="48"/>
      <c r="P340" s="48"/>
      <c r="Q340" s="48"/>
    </row>
    <row r="341" spans="2:17" s="46" customFormat="1" ht="15" customHeight="1">
      <c r="B341" s="47"/>
      <c r="C341" s="48"/>
      <c r="D341" s="48"/>
      <c r="E341" s="48"/>
      <c r="F341" s="48"/>
      <c r="G341" s="48"/>
      <c r="H341" s="48"/>
      <c r="I341" s="48"/>
      <c r="J341" s="48"/>
      <c r="K341" s="48"/>
      <c r="L341" s="48"/>
      <c r="M341" s="48"/>
      <c r="N341" s="48"/>
      <c r="O341" s="48"/>
      <c r="P341" s="48"/>
      <c r="Q341" s="48"/>
    </row>
    <row r="342" spans="2:17" s="46" customFormat="1" ht="15" customHeight="1">
      <c r="B342" s="47"/>
      <c r="C342" s="48"/>
      <c r="D342" s="48"/>
      <c r="E342" s="48"/>
      <c r="F342" s="48"/>
      <c r="G342" s="48"/>
      <c r="H342" s="48"/>
      <c r="I342" s="48"/>
      <c r="J342" s="48"/>
      <c r="K342" s="48"/>
      <c r="L342" s="48"/>
      <c r="M342" s="48"/>
      <c r="N342" s="48"/>
      <c r="O342" s="48"/>
      <c r="P342" s="48"/>
      <c r="Q342" s="48"/>
    </row>
    <row r="343" spans="2:17" s="46" customFormat="1" ht="15" customHeight="1">
      <c r="B343" s="47"/>
      <c r="C343" s="48"/>
      <c r="D343" s="48"/>
      <c r="E343" s="48"/>
      <c r="F343" s="48"/>
      <c r="G343" s="48"/>
      <c r="H343" s="48"/>
      <c r="I343" s="48"/>
      <c r="J343" s="48"/>
      <c r="K343" s="48"/>
      <c r="L343" s="48"/>
      <c r="M343" s="48"/>
      <c r="N343" s="48"/>
      <c r="O343" s="48"/>
      <c r="P343" s="48"/>
      <c r="Q343" s="48"/>
    </row>
    <row r="344" spans="2:17" s="46" customFormat="1" ht="15" customHeight="1">
      <c r="B344" s="47"/>
      <c r="C344" s="48"/>
      <c r="D344" s="48"/>
      <c r="E344" s="48"/>
      <c r="F344" s="48"/>
      <c r="G344" s="48"/>
      <c r="H344" s="48"/>
      <c r="I344" s="48"/>
      <c r="J344" s="48"/>
      <c r="K344" s="48"/>
      <c r="L344" s="48"/>
      <c r="M344" s="48"/>
      <c r="N344" s="48"/>
      <c r="O344" s="48"/>
      <c r="P344" s="48"/>
      <c r="Q344" s="48"/>
    </row>
    <row r="345" spans="2:17" s="46" customFormat="1" ht="15" customHeight="1">
      <c r="B345" s="47"/>
      <c r="C345" s="48"/>
      <c r="D345" s="48"/>
      <c r="E345" s="48"/>
      <c r="F345" s="48"/>
      <c r="G345" s="48"/>
      <c r="H345" s="48"/>
      <c r="I345" s="48"/>
      <c r="J345" s="48"/>
      <c r="K345" s="48"/>
      <c r="L345" s="48"/>
      <c r="M345" s="48"/>
      <c r="N345" s="48"/>
      <c r="O345" s="48"/>
      <c r="P345" s="48"/>
      <c r="Q345" s="48"/>
    </row>
    <row r="346" spans="2:17" s="46" customFormat="1" ht="15" customHeight="1">
      <c r="B346" s="47"/>
      <c r="C346" s="48"/>
      <c r="D346" s="48"/>
      <c r="E346" s="48"/>
      <c r="F346" s="48"/>
      <c r="G346" s="48"/>
      <c r="H346" s="48"/>
      <c r="I346" s="48"/>
      <c r="J346" s="48"/>
      <c r="K346" s="48"/>
      <c r="L346" s="48"/>
      <c r="M346" s="48"/>
      <c r="N346" s="48"/>
      <c r="O346" s="48"/>
      <c r="P346" s="48"/>
      <c r="Q346" s="48"/>
    </row>
    <row r="347" spans="2:17" s="46" customFormat="1" ht="15" customHeight="1">
      <c r="B347" s="47"/>
      <c r="C347" s="48"/>
      <c r="D347" s="48"/>
      <c r="E347" s="48"/>
      <c r="F347" s="48"/>
      <c r="G347" s="48"/>
      <c r="H347" s="48"/>
      <c r="I347" s="48"/>
      <c r="J347" s="48"/>
      <c r="K347" s="48"/>
      <c r="L347" s="48"/>
      <c r="M347" s="48"/>
      <c r="N347" s="48"/>
      <c r="O347" s="48"/>
      <c r="P347" s="48"/>
      <c r="Q347" s="48"/>
    </row>
    <row r="348" spans="2:17" s="46" customFormat="1" ht="15" customHeight="1">
      <c r="B348" s="47"/>
      <c r="C348" s="48"/>
      <c r="D348" s="48"/>
      <c r="E348" s="48"/>
      <c r="F348" s="48"/>
      <c r="G348" s="48"/>
      <c r="H348" s="48"/>
      <c r="I348" s="48"/>
      <c r="J348" s="48"/>
      <c r="K348" s="48"/>
      <c r="L348" s="48"/>
      <c r="M348" s="48"/>
      <c r="N348" s="48"/>
      <c r="O348" s="48"/>
      <c r="P348" s="48"/>
      <c r="Q348" s="48"/>
    </row>
    <row r="349" spans="2:17" s="46" customFormat="1" ht="15" customHeight="1">
      <c r="B349" s="47"/>
      <c r="C349" s="48"/>
      <c r="D349" s="48"/>
      <c r="E349" s="48"/>
      <c r="F349" s="48"/>
      <c r="G349" s="48"/>
      <c r="H349" s="48"/>
      <c r="I349" s="48"/>
      <c r="J349" s="48"/>
      <c r="K349" s="48"/>
      <c r="L349" s="48"/>
      <c r="M349" s="48"/>
      <c r="N349" s="48"/>
      <c r="O349" s="48"/>
      <c r="P349" s="48"/>
      <c r="Q349" s="48"/>
    </row>
    <row r="350" spans="2:17" s="46" customFormat="1" ht="15" customHeight="1">
      <c r="B350" s="47"/>
      <c r="C350" s="48"/>
      <c r="D350" s="48"/>
      <c r="E350" s="48"/>
      <c r="F350" s="48"/>
      <c r="G350" s="48"/>
      <c r="H350" s="48"/>
      <c r="I350" s="48"/>
      <c r="J350" s="48"/>
      <c r="K350" s="48"/>
      <c r="L350" s="48"/>
      <c r="M350" s="48"/>
      <c r="N350" s="48"/>
      <c r="O350" s="48"/>
      <c r="P350" s="48"/>
      <c r="Q350" s="48"/>
    </row>
    <row r="351" spans="2:17" s="46" customFormat="1" ht="15" customHeight="1">
      <c r="B351" s="47"/>
      <c r="C351" s="48"/>
      <c r="D351" s="48"/>
      <c r="E351" s="48"/>
      <c r="F351" s="48"/>
      <c r="G351" s="48"/>
      <c r="H351" s="48"/>
      <c r="I351" s="48"/>
      <c r="J351" s="48"/>
      <c r="K351" s="48"/>
      <c r="L351" s="48"/>
      <c r="M351" s="48"/>
      <c r="N351" s="48"/>
      <c r="O351" s="48"/>
      <c r="P351" s="48"/>
      <c r="Q351" s="48"/>
    </row>
    <row r="352" spans="2:17" s="46" customFormat="1" ht="15" customHeight="1">
      <c r="B352" s="47"/>
      <c r="C352" s="48"/>
      <c r="D352" s="48"/>
      <c r="E352" s="48"/>
      <c r="F352" s="48"/>
      <c r="G352" s="48"/>
      <c r="H352" s="48"/>
      <c r="I352" s="48"/>
      <c r="J352" s="48"/>
      <c r="K352" s="48"/>
      <c r="L352" s="48"/>
      <c r="M352" s="48"/>
      <c r="N352" s="48"/>
      <c r="O352" s="48"/>
      <c r="P352" s="48"/>
      <c r="Q352" s="48"/>
    </row>
    <row r="353" spans="2:17" s="46" customFormat="1" ht="15" customHeight="1">
      <c r="B353" s="47"/>
      <c r="C353" s="48"/>
      <c r="D353" s="48"/>
      <c r="E353" s="48"/>
      <c r="F353" s="48"/>
      <c r="G353" s="48"/>
      <c r="H353" s="48"/>
      <c r="I353" s="48"/>
      <c r="J353" s="48"/>
      <c r="K353" s="48"/>
      <c r="L353" s="48"/>
      <c r="M353" s="48"/>
      <c r="N353" s="48"/>
      <c r="O353" s="48"/>
      <c r="P353" s="48"/>
      <c r="Q353" s="48"/>
    </row>
    <row r="354" spans="2:17" s="46" customFormat="1" ht="15" customHeight="1">
      <c r="B354" s="47"/>
      <c r="C354" s="48"/>
      <c r="D354" s="48"/>
      <c r="E354" s="48"/>
      <c r="F354" s="48"/>
      <c r="G354" s="48"/>
      <c r="H354" s="48"/>
      <c r="I354" s="48"/>
      <c r="J354" s="48"/>
      <c r="K354" s="48"/>
      <c r="L354" s="48"/>
      <c r="M354" s="48"/>
      <c r="N354" s="48"/>
      <c r="O354" s="48"/>
      <c r="P354" s="48"/>
      <c r="Q354" s="48"/>
    </row>
    <row r="355" spans="2:17" s="46" customFormat="1" ht="15" customHeight="1">
      <c r="B355" s="47"/>
      <c r="C355" s="48"/>
      <c r="D355" s="48"/>
      <c r="E355" s="48"/>
      <c r="F355" s="48"/>
      <c r="G355" s="48"/>
      <c r="H355" s="48"/>
      <c r="I355" s="48"/>
      <c r="J355" s="48"/>
      <c r="K355" s="48"/>
      <c r="L355" s="48"/>
      <c r="M355" s="48"/>
      <c r="N355" s="48"/>
      <c r="O355" s="48"/>
      <c r="P355" s="48"/>
      <c r="Q355" s="48"/>
    </row>
    <row r="356" spans="2:17" s="46" customFormat="1" ht="15" customHeight="1">
      <c r="B356" s="47"/>
      <c r="C356" s="48"/>
      <c r="D356" s="48"/>
      <c r="E356" s="48"/>
      <c r="F356" s="48"/>
      <c r="G356" s="48"/>
      <c r="H356" s="48"/>
      <c r="I356" s="48"/>
      <c r="J356" s="48"/>
      <c r="K356" s="48"/>
      <c r="L356" s="48"/>
      <c r="M356" s="48"/>
      <c r="N356" s="48"/>
      <c r="O356" s="48"/>
      <c r="P356" s="48"/>
      <c r="Q356" s="48"/>
    </row>
    <row r="357" spans="2:17" s="46" customFormat="1" ht="15" customHeight="1">
      <c r="B357" s="47"/>
      <c r="C357" s="48"/>
      <c r="D357" s="48"/>
      <c r="E357" s="48"/>
      <c r="F357" s="48"/>
      <c r="G357" s="48"/>
      <c r="H357" s="48"/>
      <c r="I357" s="48"/>
      <c r="J357" s="48"/>
      <c r="K357" s="48"/>
      <c r="L357" s="48"/>
      <c r="M357" s="48"/>
      <c r="N357" s="48"/>
      <c r="O357" s="48"/>
      <c r="P357" s="48"/>
      <c r="Q357" s="48"/>
    </row>
    <row r="358" spans="2:17" s="46" customFormat="1" ht="15" customHeight="1">
      <c r="B358" s="47"/>
      <c r="C358" s="48"/>
      <c r="D358" s="48"/>
      <c r="E358" s="48"/>
      <c r="F358" s="48"/>
      <c r="G358" s="48"/>
      <c r="H358" s="48"/>
      <c r="I358" s="48"/>
      <c r="J358" s="48"/>
      <c r="K358" s="48"/>
      <c r="L358" s="48"/>
      <c r="M358" s="48"/>
      <c r="N358" s="48"/>
      <c r="O358" s="48"/>
      <c r="P358" s="48"/>
      <c r="Q358" s="48"/>
    </row>
    <row r="359" spans="2:17" s="46" customFormat="1" ht="15" customHeight="1">
      <c r="B359" s="47"/>
      <c r="C359" s="48"/>
      <c r="D359" s="48"/>
      <c r="E359" s="48"/>
      <c r="F359" s="48"/>
      <c r="G359" s="48"/>
      <c r="H359" s="48"/>
      <c r="I359" s="48"/>
      <c r="J359" s="48"/>
      <c r="K359" s="48"/>
      <c r="L359" s="48"/>
      <c r="M359" s="48"/>
      <c r="N359" s="48"/>
      <c r="O359" s="48"/>
      <c r="P359" s="48"/>
      <c r="Q359" s="48"/>
    </row>
    <row r="360" spans="2:17" s="46" customFormat="1" ht="15" customHeight="1">
      <c r="B360" s="47"/>
      <c r="C360" s="48"/>
      <c r="D360" s="48"/>
      <c r="E360" s="48"/>
      <c r="F360" s="48"/>
      <c r="G360" s="48"/>
      <c r="H360" s="48"/>
      <c r="I360" s="48"/>
      <c r="J360" s="48"/>
      <c r="K360" s="48"/>
      <c r="L360" s="48"/>
      <c r="M360" s="48"/>
      <c r="N360" s="48"/>
      <c r="O360" s="48"/>
      <c r="P360" s="48"/>
      <c r="Q360" s="48"/>
    </row>
    <row r="361" spans="2:17" s="46" customFormat="1" ht="15" customHeight="1">
      <c r="B361" s="47"/>
      <c r="C361" s="48"/>
      <c r="D361" s="48"/>
      <c r="E361" s="48"/>
      <c r="F361" s="48"/>
      <c r="G361" s="48"/>
      <c r="H361" s="48"/>
      <c r="I361" s="48"/>
      <c r="J361" s="48"/>
      <c r="K361" s="48"/>
      <c r="L361" s="48"/>
      <c r="M361" s="48"/>
      <c r="N361" s="48"/>
      <c r="O361" s="48"/>
      <c r="P361" s="48"/>
      <c r="Q361" s="48"/>
    </row>
    <row r="362" spans="2:17" s="46" customFormat="1" ht="15" customHeight="1">
      <c r="B362" s="47"/>
      <c r="C362" s="48"/>
      <c r="D362" s="48"/>
      <c r="E362" s="48"/>
      <c r="F362" s="48"/>
      <c r="G362" s="48"/>
      <c r="H362" s="48"/>
      <c r="I362" s="48"/>
      <c r="J362" s="48"/>
      <c r="K362" s="48"/>
      <c r="L362" s="48"/>
      <c r="M362" s="48"/>
      <c r="N362" s="48"/>
      <c r="O362" s="48"/>
      <c r="P362" s="48"/>
      <c r="Q362" s="48"/>
    </row>
    <row r="363" spans="2:17" s="46" customFormat="1" ht="15" customHeight="1">
      <c r="B363" s="47"/>
      <c r="C363" s="48"/>
      <c r="D363" s="48"/>
      <c r="E363" s="48"/>
      <c r="F363" s="48"/>
      <c r="G363" s="48"/>
      <c r="H363" s="48"/>
      <c r="I363" s="48"/>
      <c r="J363" s="48"/>
      <c r="K363" s="48"/>
      <c r="L363" s="48"/>
      <c r="M363" s="48"/>
      <c r="N363" s="48"/>
      <c r="O363" s="48"/>
      <c r="P363" s="48"/>
      <c r="Q363" s="48"/>
    </row>
    <row r="364" spans="2:17" s="46" customFormat="1" ht="15" customHeight="1">
      <c r="B364" s="47"/>
      <c r="C364" s="48"/>
      <c r="D364" s="48"/>
      <c r="E364" s="48"/>
      <c r="F364" s="48"/>
      <c r="G364" s="48"/>
      <c r="H364" s="48"/>
      <c r="I364" s="48"/>
      <c r="J364" s="48"/>
      <c r="K364" s="48"/>
      <c r="L364" s="48"/>
      <c r="M364" s="48"/>
      <c r="N364" s="48"/>
      <c r="O364" s="48"/>
      <c r="P364" s="48"/>
      <c r="Q364" s="48"/>
    </row>
    <row r="365" spans="2:17" s="46" customFormat="1" ht="15" customHeight="1">
      <c r="B365" s="47"/>
      <c r="C365" s="48"/>
      <c r="D365" s="48"/>
      <c r="E365" s="48"/>
      <c r="F365" s="48"/>
      <c r="G365" s="48"/>
      <c r="H365" s="48"/>
      <c r="I365" s="48"/>
      <c r="J365" s="48"/>
      <c r="K365" s="48"/>
      <c r="L365" s="48"/>
      <c r="M365" s="48"/>
      <c r="N365" s="48"/>
      <c r="O365" s="48"/>
      <c r="P365" s="48"/>
      <c r="Q365" s="48"/>
    </row>
    <row r="366" spans="2:17" s="46" customFormat="1" ht="15" customHeight="1">
      <c r="B366" s="47"/>
      <c r="C366" s="48"/>
      <c r="D366" s="48"/>
      <c r="E366" s="48"/>
      <c r="F366" s="48"/>
      <c r="G366" s="48"/>
      <c r="H366" s="48"/>
      <c r="I366" s="48"/>
      <c r="J366" s="48"/>
      <c r="K366" s="48"/>
      <c r="L366" s="48"/>
      <c r="M366" s="48"/>
      <c r="N366" s="48"/>
      <c r="O366" s="48"/>
      <c r="P366" s="48"/>
      <c r="Q366" s="48"/>
    </row>
    <row r="367" spans="2:17" s="46" customFormat="1" ht="15" customHeight="1">
      <c r="B367" s="47"/>
      <c r="C367" s="48"/>
      <c r="D367" s="48"/>
      <c r="E367" s="48"/>
      <c r="F367" s="48"/>
      <c r="G367" s="48"/>
      <c r="H367" s="48"/>
      <c r="I367" s="48"/>
      <c r="J367" s="48"/>
      <c r="K367" s="48"/>
      <c r="L367" s="48"/>
      <c r="M367" s="48"/>
      <c r="N367" s="48"/>
      <c r="O367" s="48"/>
      <c r="P367" s="48"/>
      <c r="Q367" s="48"/>
    </row>
    <row r="368" spans="2:17" s="46" customFormat="1" ht="15" customHeight="1">
      <c r="B368" s="47"/>
      <c r="C368" s="48"/>
      <c r="D368" s="48"/>
      <c r="E368" s="48"/>
      <c r="F368" s="48"/>
      <c r="G368" s="48"/>
      <c r="H368" s="48"/>
      <c r="I368" s="48"/>
      <c r="J368" s="48"/>
      <c r="K368" s="48"/>
      <c r="L368" s="48"/>
      <c r="M368" s="48"/>
      <c r="N368" s="48"/>
      <c r="O368" s="48"/>
      <c r="P368" s="48"/>
      <c r="Q368" s="48"/>
    </row>
    <row r="369" spans="2:17" s="46" customFormat="1" ht="15" customHeight="1">
      <c r="B369" s="47"/>
      <c r="C369" s="48"/>
      <c r="D369" s="48"/>
      <c r="E369" s="48"/>
      <c r="F369" s="48"/>
      <c r="G369" s="48"/>
      <c r="H369" s="48"/>
      <c r="I369" s="48"/>
      <c r="J369" s="48"/>
      <c r="K369" s="48"/>
      <c r="L369" s="48"/>
      <c r="M369" s="48"/>
      <c r="N369" s="48"/>
      <c r="O369" s="48"/>
      <c r="P369" s="48"/>
      <c r="Q369" s="48"/>
    </row>
    <row r="370" spans="2:17" s="46" customFormat="1" ht="15" customHeight="1">
      <c r="B370" s="47"/>
      <c r="C370" s="48"/>
      <c r="D370" s="48"/>
      <c r="E370" s="48"/>
      <c r="F370" s="48"/>
      <c r="G370" s="48"/>
      <c r="H370" s="48"/>
      <c r="I370" s="48"/>
      <c r="J370" s="48"/>
      <c r="K370" s="48"/>
      <c r="L370" s="48"/>
      <c r="M370" s="48"/>
      <c r="N370" s="48"/>
      <c r="O370" s="48"/>
      <c r="P370" s="48"/>
      <c r="Q370" s="48"/>
    </row>
    <row r="371" spans="2:17" s="46" customFormat="1" ht="15" customHeight="1">
      <c r="B371" s="47"/>
      <c r="C371" s="48"/>
      <c r="D371" s="48"/>
      <c r="E371" s="48"/>
      <c r="F371" s="48"/>
      <c r="G371" s="48"/>
      <c r="H371" s="48"/>
      <c r="I371" s="48"/>
      <c r="J371" s="48"/>
      <c r="K371" s="48"/>
      <c r="L371" s="48"/>
      <c r="M371" s="48"/>
      <c r="N371" s="48"/>
      <c r="O371" s="48"/>
      <c r="P371" s="48"/>
      <c r="Q371" s="48"/>
    </row>
    <row r="372" spans="2:17" s="46" customFormat="1" ht="15" customHeight="1">
      <c r="B372" s="47"/>
      <c r="C372" s="48"/>
      <c r="D372" s="48"/>
      <c r="E372" s="48"/>
      <c r="F372" s="48"/>
      <c r="G372" s="48"/>
      <c r="H372" s="48"/>
      <c r="I372" s="48"/>
      <c r="J372" s="48"/>
      <c r="K372" s="48"/>
      <c r="L372" s="48"/>
      <c r="M372" s="48"/>
      <c r="N372" s="48"/>
      <c r="O372" s="48"/>
      <c r="P372" s="48"/>
      <c r="Q372" s="48"/>
    </row>
    <row r="373" spans="2:17" s="46" customFormat="1" ht="15" customHeight="1">
      <c r="B373" s="47"/>
      <c r="C373" s="48"/>
      <c r="D373" s="48"/>
      <c r="E373" s="48"/>
      <c r="F373" s="48"/>
      <c r="G373" s="48"/>
      <c r="H373" s="48"/>
      <c r="I373" s="48"/>
      <c r="J373" s="48"/>
      <c r="K373" s="48"/>
      <c r="L373" s="48"/>
      <c r="M373" s="48"/>
      <c r="N373" s="48"/>
      <c r="O373" s="48"/>
      <c r="P373" s="48"/>
      <c r="Q373" s="48"/>
    </row>
    <row r="374" spans="2:17" s="46" customFormat="1" ht="15" customHeight="1">
      <c r="B374" s="47"/>
      <c r="C374" s="48"/>
      <c r="D374" s="48"/>
      <c r="E374" s="48"/>
      <c r="F374" s="48"/>
      <c r="G374" s="48"/>
      <c r="H374" s="48"/>
      <c r="I374" s="48"/>
      <c r="J374" s="48"/>
      <c r="K374" s="48"/>
      <c r="L374" s="48"/>
      <c r="M374" s="48"/>
      <c r="N374" s="48"/>
      <c r="O374" s="48"/>
      <c r="P374" s="48"/>
      <c r="Q374" s="48"/>
    </row>
    <row r="375" spans="2:17" s="46" customFormat="1" ht="15" customHeight="1">
      <c r="B375" s="47"/>
      <c r="C375" s="48"/>
      <c r="D375" s="48"/>
      <c r="E375" s="48"/>
      <c r="F375" s="48"/>
      <c r="G375" s="48"/>
      <c r="H375" s="48"/>
      <c r="I375" s="48"/>
      <c r="J375" s="48"/>
      <c r="K375" s="48"/>
      <c r="L375" s="48"/>
      <c r="M375" s="48"/>
      <c r="N375" s="48"/>
      <c r="O375" s="48"/>
      <c r="P375" s="48"/>
      <c r="Q375" s="48"/>
    </row>
    <row r="376" spans="2:17" s="46" customFormat="1" ht="15" customHeight="1">
      <c r="B376" s="47"/>
      <c r="C376" s="48"/>
      <c r="D376" s="48"/>
      <c r="E376" s="48"/>
      <c r="F376" s="48"/>
      <c r="G376" s="48"/>
      <c r="H376" s="48"/>
      <c r="I376" s="48"/>
      <c r="J376" s="48"/>
      <c r="K376" s="48"/>
      <c r="L376" s="48"/>
      <c r="M376" s="48"/>
      <c r="N376" s="48"/>
      <c r="O376" s="48"/>
      <c r="P376" s="48"/>
      <c r="Q376" s="48"/>
    </row>
    <row r="377" spans="2:17" s="46" customFormat="1" ht="15" customHeight="1">
      <c r="B377" s="47"/>
      <c r="C377" s="48"/>
      <c r="D377" s="48"/>
      <c r="E377" s="48"/>
      <c r="F377" s="48"/>
      <c r="G377" s="48"/>
      <c r="H377" s="48"/>
      <c r="I377" s="48"/>
      <c r="J377" s="48"/>
      <c r="K377" s="48"/>
      <c r="L377" s="48"/>
      <c r="M377" s="48"/>
      <c r="N377" s="48"/>
      <c r="O377" s="48"/>
      <c r="P377" s="48"/>
      <c r="Q377" s="48"/>
    </row>
    <row r="378" spans="2:17" s="46" customFormat="1" ht="15" customHeight="1">
      <c r="B378" s="47"/>
      <c r="C378" s="48"/>
      <c r="D378" s="48"/>
      <c r="E378" s="48"/>
      <c r="F378" s="48"/>
      <c r="G378" s="48"/>
      <c r="H378" s="48"/>
      <c r="I378" s="48"/>
      <c r="J378" s="48"/>
      <c r="K378" s="48"/>
      <c r="L378" s="48"/>
      <c r="M378" s="48"/>
      <c r="N378" s="48"/>
      <c r="O378" s="48"/>
      <c r="P378" s="48"/>
      <c r="Q378" s="48"/>
    </row>
    <row r="379" spans="2:17" s="46" customFormat="1" ht="15" customHeight="1">
      <c r="B379" s="47"/>
      <c r="C379" s="48"/>
      <c r="D379" s="48"/>
      <c r="E379" s="48"/>
      <c r="F379" s="48"/>
      <c r="G379" s="48"/>
      <c r="H379" s="48"/>
      <c r="I379" s="48"/>
      <c r="J379" s="48"/>
      <c r="K379" s="48"/>
      <c r="L379" s="48"/>
      <c r="M379" s="48"/>
      <c r="N379" s="48"/>
      <c r="O379" s="48"/>
      <c r="P379" s="48"/>
      <c r="Q379" s="48"/>
    </row>
    <row r="380" spans="2:17" s="46" customFormat="1" ht="15" customHeight="1">
      <c r="B380" s="47"/>
      <c r="C380" s="48"/>
      <c r="D380" s="48"/>
      <c r="E380" s="48"/>
      <c r="F380" s="48"/>
      <c r="G380" s="48"/>
      <c r="H380" s="48"/>
      <c r="I380" s="48"/>
      <c r="J380" s="48"/>
      <c r="K380" s="48"/>
      <c r="L380" s="48"/>
      <c r="M380" s="48"/>
      <c r="N380" s="48"/>
      <c r="O380" s="48"/>
      <c r="P380" s="48"/>
      <c r="Q380" s="48"/>
    </row>
    <row r="381" spans="2:17" s="46" customFormat="1" ht="15" customHeight="1">
      <c r="B381" s="47"/>
      <c r="C381" s="48"/>
      <c r="D381" s="48"/>
      <c r="E381" s="48"/>
      <c r="F381" s="48"/>
      <c r="G381" s="48"/>
      <c r="H381" s="48"/>
      <c r="I381" s="48"/>
      <c r="J381" s="48"/>
      <c r="K381" s="48"/>
      <c r="L381" s="48"/>
      <c r="M381" s="48"/>
      <c r="N381" s="48"/>
      <c r="O381" s="48"/>
      <c r="P381" s="48"/>
      <c r="Q381" s="48"/>
    </row>
    <row r="382" spans="2:17" s="46" customFormat="1" ht="15" customHeight="1">
      <c r="B382" s="47"/>
      <c r="C382" s="48"/>
      <c r="D382" s="48"/>
      <c r="E382" s="48"/>
      <c r="F382" s="48"/>
      <c r="G382" s="48"/>
      <c r="H382" s="48"/>
      <c r="I382" s="48"/>
      <c r="J382" s="48"/>
      <c r="K382" s="48"/>
      <c r="L382" s="48"/>
      <c r="M382" s="48"/>
      <c r="N382" s="48"/>
      <c r="O382" s="48"/>
      <c r="P382" s="48"/>
      <c r="Q382" s="48"/>
    </row>
    <row r="383" spans="2:17" s="46" customFormat="1" ht="15" customHeight="1">
      <c r="B383" s="47"/>
      <c r="C383" s="48"/>
      <c r="D383" s="48"/>
      <c r="E383" s="48"/>
      <c r="F383" s="48"/>
      <c r="G383" s="48"/>
      <c r="H383" s="48"/>
      <c r="I383" s="48"/>
      <c r="J383" s="48"/>
      <c r="K383" s="48"/>
      <c r="L383" s="48"/>
      <c r="M383" s="48"/>
      <c r="N383" s="48"/>
      <c r="O383" s="48"/>
      <c r="P383" s="48"/>
      <c r="Q383" s="48"/>
    </row>
    <row r="384" spans="2:17" s="46" customFormat="1" ht="15" customHeight="1">
      <c r="B384" s="47"/>
      <c r="C384" s="48"/>
      <c r="D384" s="48"/>
      <c r="E384" s="48"/>
      <c r="F384" s="48"/>
      <c r="G384" s="48"/>
      <c r="H384" s="48"/>
      <c r="I384" s="48"/>
      <c r="J384" s="48"/>
      <c r="K384" s="48"/>
      <c r="L384" s="48"/>
      <c r="M384" s="48"/>
      <c r="N384" s="48"/>
      <c r="O384" s="48"/>
      <c r="P384" s="48"/>
      <c r="Q384" s="48"/>
    </row>
    <row r="385" spans="2:17" s="46" customFormat="1" ht="15" customHeight="1">
      <c r="B385" s="47"/>
      <c r="C385" s="48"/>
      <c r="D385" s="48"/>
      <c r="E385" s="48"/>
      <c r="F385" s="48"/>
      <c r="G385" s="48"/>
      <c r="H385" s="48"/>
      <c r="I385" s="48"/>
      <c r="J385" s="48"/>
      <c r="K385" s="48"/>
      <c r="L385" s="48"/>
      <c r="M385" s="48"/>
      <c r="N385" s="48"/>
      <c r="O385" s="48"/>
      <c r="P385" s="48"/>
      <c r="Q385" s="48"/>
    </row>
    <row r="386" spans="2:17" s="46" customFormat="1" ht="15" customHeight="1">
      <c r="B386" s="47"/>
      <c r="C386" s="48"/>
      <c r="D386" s="48"/>
      <c r="E386" s="48"/>
      <c r="F386" s="48"/>
      <c r="G386" s="48"/>
      <c r="H386" s="48"/>
      <c r="I386" s="48"/>
      <c r="J386" s="48"/>
      <c r="K386" s="48"/>
      <c r="L386" s="48"/>
      <c r="M386" s="48"/>
      <c r="N386" s="48"/>
      <c r="O386" s="48"/>
      <c r="P386" s="48"/>
      <c r="Q386" s="48"/>
    </row>
    <row r="387" spans="2:17" s="46" customFormat="1" ht="15" customHeight="1">
      <c r="B387" s="47"/>
      <c r="C387" s="48"/>
      <c r="D387" s="48"/>
      <c r="E387" s="48"/>
      <c r="F387" s="48"/>
      <c r="G387" s="48"/>
      <c r="H387" s="48"/>
      <c r="I387" s="48"/>
      <c r="J387" s="48"/>
      <c r="K387" s="48"/>
      <c r="L387" s="48"/>
      <c r="M387" s="48"/>
      <c r="N387" s="48"/>
      <c r="O387" s="48"/>
      <c r="P387" s="48"/>
      <c r="Q387" s="48"/>
    </row>
    <row r="388" spans="2:17" s="46" customFormat="1" ht="15" customHeight="1">
      <c r="B388" s="47"/>
      <c r="C388" s="48"/>
      <c r="D388" s="48"/>
      <c r="E388" s="48"/>
      <c r="F388" s="48"/>
      <c r="G388" s="48"/>
      <c r="H388" s="48"/>
      <c r="I388" s="48"/>
      <c r="J388" s="48"/>
      <c r="K388" s="48"/>
      <c r="L388" s="48"/>
      <c r="M388" s="48"/>
      <c r="N388" s="48"/>
      <c r="O388" s="48"/>
      <c r="P388" s="48"/>
      <c r="Q388" s="48"/>
    </row>
    <row r="389" spans="2:17" s="46" customFormat="1" ht="15" customHeight="1">
      <c r="B389" s="47"/>
      <c r="C389" s="48"/>
      <c r="D389" s="48"/>
      <c r="E389" s="48"/>
      <c r="F389" s="48"/>
      <c r="G389" s="48"/>
      <c r="H389" s="48"/>
      <c r="I389" s="48"/>
      <c r="J389" s="48"/>
      <c r="K389" s="48"/>
      <c r="L389" s="48"/>
      <c r="M389" s="48"/>
      <c r="N389" s="48"/>
      <c r="O389" s="48"/>
      <c r="P389" s="48"/>
      <c r="Q389" s="48"/>
    </row>
    <row r="390" spans="2:17" s="46" customFormat="1" ht="15" customHeight="1">
      <c r="B390" s="47"/>
      <c r="C390" s="48"/>
      <c r="D390" s="48"/>
      <c r="E390" s="48"/>
      <c r="F390" s="48"/>
      <c r="G390" s="48"/>
      <c r="H390" s="48"/>
      <c r="I390" s="48"/>
      <c r="J390" s="48"/>
      <c r="K390" s="48"/>
      <c r="L390" s="48"/>
      <c r="M390" s="48"/>
      <c r="N390" s="48"/>
      <c r="O390" s="48"/>
      <c r="P390" s="48"/>
      <c r="Q390" s="48"/>
    </row>
    <row r="391" spans="2:17" s="46" customFormat="1" ht="15" customHeight="1">
      <c r="B391" s="47"/>
      <c r="C391" s="48"/>
      <c r="D391" s="48"/>
      <c r="E391" s="48"/>
      <c r="F391" s="48"/>
      <c r="G391" s="48"/>
      <c r="H391" s="48"/>
      <c r="I391" s="48"/>
      <c r="J391" s="48"/>
      <c r="K391" s="48"/>
      <c r="L391" s="48"/>
      <c r="M391" s="48"/>
      <c r="N391" s="48"/>
      <c r="O391" s="48"/>
      <c r="P391" s="48"/>
      <c r="Q391" s="48"/>
    </row>
    <row r="392" spans="2:17" s="46" customFormat="1" ht="15" customHeight="1">
      <c r="B392" s="47"/>
      <c r="C392" s="48"/>
      <c r="D392" s="48"/>
      <c r="E392" s="48"/>
      <c r="F392" s="48"/>
      <c r="G392" s="48"/>
      <c r="H392" s="48"/>
      <c r="I392" s="48"/>
      <c r="J392" s="48"/>
      <c r="K392" s="48"/>
      <c r="L392" s="48"/>
      <c r="M392" s="48"/>
      <c r="N392" s="48"/>
      <c r="O392" s="48"/>
      <c r="P392" s="48"/>
      <c r="Q392" s="48"/>
    </row>
    <row r="393" spans="2:17" s="46" customFormat="1" ht="15" customHeight="1">
      <c r="B393" s="47"/>
      <c r="C393" s="48"/>
      <c r="D393" s="48"/>
      <c r="E393" s="48"/>
      <c r="F393" s="48"/>
      <c r="G393" s="48"/>
      <c r="H393" s="48"/>
      <c r="I393" s="48"/>
      <c r="J393" s="48"/>
      <c r="K393" s="48"/>
      <c r="L393" s="48"/>
      <c r="M393" s="48"/>
      <c r="N393" s="48"/>
      <c r="O393" s="48"/>
      <c r="P393" s="48"/>
      <c r="Q393" s="48"/>
    </row>
    <row r="394" spans="2:17" s="46" customFormat="1" ht="15" customHeight="1">
      <c r="B394" s="47"/>
      <c r="C394" s="48"/>
      <c r="D394" s="48"/>
      <c r="E394" s="48"/>
      <c r="F394" s="48"/>
      <c r="G394" s="48"/>
      <c r="H394" s="48"/>
      <c r="I394" s="48"/>
      <c r="J394" s="48"/>
      <c r="K394" s="48"/>
      <c r="L394" s="48"/>
      <c r="M394" s="48"/>
      <c r="N394" s="48"/>
      <c r="O394" s="48"/>
      <c r="P394" s="48"/>
      <c r="Q394" s="48"/>
    </row>
    <row r="395" spans="2:17" s="46" customFormat="1" ht="15" customHeight="1">
      <c r="B395" s="47"/>
      <c r="C395" s="48"/>
      <c r="D395" s="48"/>
      <c r="E395" s="48"/>
      <c r="F395" s="48"/>
      <c r="G395" s="48"/>
      <c r="H395" s="48"/>
      <c r="I395" s="48"/>
      <c r="J395" s="48"/>
      <c r="K395" s="48"/>
      <c r="L395" s="48"/>
      <c r="M395" s="48"/>
      <c r="N395" s="48"/>
      <c r="O395" s="48"/>
      <c r="P395" s="48"/>
      <c r="Q395" s="48"/>
    </row>
    <row r="396" spans="2:17" s="46" customFormat="1" ht="15" customHeight="1">
      <c r="B396" s="47"/>
      <c r="C396" s="48"/>
      <c r="D396" s="48"/>
      <c r="E396" s="48"/>
      <c r="F396" s="48"/>
      <c r="G396" s="48"/>
      <c r="H396" s="48"/>
      <c r="I396" s="48"/>
      <c r="J396" s="48"/>
      <c r="K396" s="48"/>
      <c r="L396" s="48"/>
      <c r="M396" s="48"/>
      <c r="N396" s="48"/>
      <c r="O396" s="48"/>
      <c r="P396" s="48"/>
      <c r="Q396" s="48"/>
    </row>
    <row r="397" spans="2:17" s="46" customFormat="1" ht="15" customHeight="1">
      <c r="B397" s="47"/>
      <c r="C397" s="48"/>
      <c r="D397" s="48"/>
      <c r="E397" s="48"/>
      <c r="F397" s="48"/>
      <c r="G397" s="48"/>
      <c r="H397" s="48"/>
      <c r="I397" s="48"/>
      <c r="J397" s="48"/>
      <c r="K397" s="48"/>
      <c r="L397" s="48"/>
      <c r="M397" s="48"/>
      <c r="N397" s="48"/>
      <c r="O397" s="48"/>
      <c r="P397" s="48"/>
      <c r="Q397" s="48"/>
    </row>
    <row r="398" spans="2:17" s="46" customFormat="1" ht="15" customHeight="1">
      <c r="B398" s="47"/>
      <c r="C398" s="48"/>
      <c r="D398" s="48"/>
      <c r="E398" s="48"/>
      <c r="F398" s="48"/>
      <c r="G398" s="48"/>
      <c r="H398" s="48"/>
      <c r="I398" s="48"/>
      <c r="J398" s="48"/>
      <c r="K398" s="48"/>
      <c r="L398" s="48"/>
      <c r="M398" s="48"/>
      <c r="N398" s="48"/>
      <c r="O398" s="48"/>
      <c r="P398" s="48"/>
      <c r="Q398" s="48"/>
    </row>
    <row r="399" spans="2:17" s="46" customFormat="1" ht="15" customHeight="1">
      <c r="B399" s="47"/>
      <c r="C399" s="48"/>
      <c r="D399" s="48"/>
      <c r="E399" s="48"/>
      <c r="F399" s="48"/>
      <c r="G399" s="48"/>
      <c r="H399" s="48"/>
      <c r="I399" s="48"/>
      <c r="J399" s="48"/>
      <c r="K399" s="48"/>
      <c r="L399" s="48"/>
      <c r="M399" s="48"/>
      <c r="N399" s="48"/>
      <c r="O399" s="48"/>
      <c r="P399" s="48"/>
      <c r="Q399" s="48"/>
    </row>
    <row r="400" spans="2:17" s="46" customFormat="1" ht="15" customHeight="1">
      <c r="B400" s="47"/>
      <c r="C400" s="48"/>
      <c r="D400" s="48"/>
      <c r="E400" s="48"/>
      <c r="F400" s="48"/>
      <c r="G400" s="48"/>
      <c r="H400" s="48"/>
      <c r="I400" s="48"/>
      <c r="J400" s="48"/>
      <c r="K400" s="48"/>
      <c r="L400" s="48"/>
      <c r="M400" s="48"/>
      <c r="N400" s="48"/>
      <c r="O400" s="48"/>
      <c r="P400" s="48"/>
      <c r="Q400" s="48"/>
    </row>
    <row r="401" spans="2:17" s="46" customFormat="1" ht="15" customHeight="1">
      <c r="B401" s="47"/>
      <c r="C401" s="48"/>
      <c r="D401" s="48"/>
      <c r="E401" s="48"/>
      <c r="F401" s="48"/>
      <c r="G401" s="48"/>
      <c r="H401" s="48"/>
      <c r="I401" s="48"/>
      <c r="J401" s="48"/>
      <c r="K401" s="48"/>
      <c r="L401" s="48"/>
      <c r="M401" s="48"/>
      <c r="N401" s="48"/>
      <c r="O401" s="48"/>
      <c r="P401" s="48"/>
      <c r="Q401" s="48"/>
    </row>
    <row r="402" spans="2:17" s="46" customFormat="1" ht="15" customHeight="1">
      <c r="B402" s="47"/>
      <c r="C402" s="48"/>
      <c r="D402" s="48"/>
      <c r="E402" s="48"/>
      <c r="F402" s="48"/>
      <c r="G402" s="48"/>
      <c r="H402" s="48"/>
      <c r="I402" s="48"/>
      <c r="J402" s="48"/>
      <c r="K402" s="48"/>
      <c r="L402" s="48"/>
      <c r="M402" s="48"/>
      <c r="N402" s="48"/>
      <c r="O402" s="48"/>
      <c r="P402" s="48"/>
      <c r="Q402" s="48"/>
    </row>
    <row r="403" spans="2:17" s="46" customFormat="1" ht="15" customHeight="1">
      <c r="B403" s="47"/>
      <c r="C403" s="48"/>
      <c r="D403" s="48"/>
      <c r="E403" s="48"/>
      <c r="F403" s="48"/>
      <c r="G403" s="48"/>
      <c r="H403" s="48"/>
      <c r="I403" s="48"/>
      <c r="J403" s="48"/>
      <c r="K403" s="48"/>
      <c r="L403" s="48"/>
      <c r="M403" s="48"/>
      <c r="N403" s="48"/>
      <c r="O403" s="48"/>
      <c r="P403" s="48"/>
      <c r="Q403" s="48"/>
    </row>
    <row r="404" spans="2:17" s="46" customFormat="1" ht="15" customHeight="1">
      <c r="B404" s="47"/>
      <c r="C404" s="48"/>
      <c r="D404" s="48"/>
      <c r="E404" s="48"/>
      <c r="F404" s="48"/>
      <c r="G404" s="48"/>
      <c r="H404" s="48"/>
      <c r="I404" s="48"/>
      <c r="J404" s="48"/>
      <c r="K404" s="48"/>
      <c r="L404" s="48"/>
      <c r="M404" s="48"/>
      <c r="N404" s="48"/>
      <c r="O404" s="48"/>
      <c r="P404" s="48"/>
      <c r="Q404" s="48"/>
    </row>
    <row r="405" spans="2:17" s="46" customFormat="1" ht="15" customHeight="1">
      <c r="B405" s="47"/>
      <c r="C405" s="48"/>
      <c r="D405" s="48"/>
      <c r="E405" s="48"/>
      <c r="F405" s="48"/>
      <c r="G405" s="48"/>
      <c r="H405" s="48"/>
      <c r="I405" s="48"/>
      <c r="J405" s="48"/>
      <c r="K405" s="48"/>
      <c r="L405" s="48"/>
      <c r="M405" s="48"/>
      <c r="N405" s="48"/>
      <c r="O405" s="48"/>
      <c r="P405" s="48"/>
      <c r="Q405" s="48"/>
    </row>
    <row r="406" spans="2:17" s="46" customFormat="1" ht="15" customHeight="1">
      <c r="B406" s="47"/>
      <c r="C406" s="48"/>
      <c r="D406" s="48"/>
      <c r="E406" s="48"/>
      <c r="F406" s="48"/>
      <c r="G406" s="48"/>
      <c r="H406" s="48"/>
      <c r="I406" s="48"/>
      <c r="J406" s="48"/>
      <c r="K406" s="48"/>
      <c r="L406" s="48"/>
      <c r="M406" s="48"/>
      <c r="N406" s="48"/>
      <c r="O406" s="48"/>
      <c r="P406" s="48"/>
      <c r="Q406" s="48"/>
    </row>
    <row r="407" spans="2:17" s="46" customFormat="1" ht="15" customHeight="1">
      <c r="B407" s="47"/>
      <c r="C407" s="48"/>
      <c r="D407" s="48"/>
      <c r="E407" s="48"/>
      <c r="F407" s="48"/>
      <c r="G407" s="48"/>
      <c r="H407" s="48"/>
      <c r="I407" s="48"/>
      <c r="J407" s="48"/>
      <c r="K407" s="48"/>
      <c r="L407" s="48"/>
      <c r="M407" s="48"/>
      <c r="N407" s="48"/>
      <c r="O407" s="48"/>
      <c r="P407" s="48"/>
      <c r="Q407" s="48"/>
    </row>
    <row r="408" spans="2:17" s="46" customFormat="1" ht="15" customHeight="1">
      <c r="B408" s="47"/>
      <c r="C408" s="48"/>
      <c r="D408" s="48"/>
      <c r="E408" s="48"/>
      <c r="F408" s="48"/>
      <c r="G408" s="48"/>
      <c r="H408" s="48"/>
      <c r="I408" s="48"/>
      <c r="J408" s="48"/>
      <c r="K408" s="48"/>
      <c r="L408" s="48"/>
      <c r="M408" s="48"/>
      <c r="N408" s="48"/>
      <c r="O408" s="48"/>
      <c r="P408" s="48"/>
      <c r="Q408" s="48"/>
    </row>
    <row r="409" spans="2:17" s="46" customFormat="1" ht="15" customHeight="1">
      <c r="B409" s="47"/>
      <c r="C409" s="48"/>
      <c r="D409" s="48"/>
      <c r="E409" s="48"/>
      <c r="F409" s="48"/>
      <c r="G409" s="48"/>
      <c r="H409" s="48"/>
      <c r="I409" s="48"/>
      <c r="J409" s="48"/>
      <c r="K409" s="48"/>
      <c r="L409" s="48"/>
      <c r="M409" s="48"/>
      <c r="N409" s="48"/>
      <c r="O409" s="48"/>
      <c r="P409" s="48"/>
      <c r="Q409" s="48"/>
    </row>
    <row r="410" spans="2:17" s="46" customFormat="1" ht="15" customHeight="1">
      <c r="B410" s="47"/>
      <c r="C410" s="48"/>
      <c r="D410" s="48"/>
      <c r="E410" s="48"/>
      <c r="F410" s="48"/>
      <c r="G410" s="48"/>
      <c r="H410" s="48"/>
      <c r="I410" s="48"/>
      <c r="J410" s="48"/>
      <c r="K410" s="48"/>
      <c r="L410" s="48"/>
      <c r="M410" s="48"/>
      <c r="N410" s="48"/>
      <c r="O410" s="48"/>
      <c r="P410" s="48"/>
      <c r="Q410" s="48"/>
    </row>
    <row r="411" spans="2:17" s="46" customFormat="1" ht="15" customHeight="1">
      <c r="B411" s="47"/>
      <c r="C411" s="48"/>
      <c r="D411" s="48"/>
      <c r="E411" s="48"/>
      <c r="F411" s="48"/>
      <c r="G411" s="48"/>
      <c r="H411" s="48"/>
      <c r="I411" s="48"/>
      <c r="J411" s="48"/>
      <c r="K411" s="48"/>
      <c r="L411" s="48"/>
      <c r="M411" s="48"/>
      <c r="N411" s="48"/>
      <c r="O411" s="48"/>
      <c r="P411" s="48"/>
      <c r="Q411" s="48"/>
    </row>
    <row r="412" spans="2:17" s="46" customFormat="1" ht="15" customHeight="1">
      <c r="B412" s="47"/>
      <c r="C412" s="48"/>
      <c r="D412" s="48"/>
      <c r="E412" s="48"/>
      <c r="F412" s="48"/>
      <c r="G412" s="48"/>
      <c r="H412" s="48"/>
      <c r="I412" s="48"/>
      <c r="J412" s="48"/>
      <c r="K412" s="48"/>
      <c r="L412" s="48"/>
      <c r="M412" s="48"/>
      <c r="N412" s="48"/>
      <c r="O412" s="48"/>
      <c r="P412" s="48"/>
      <c r="Q412" s="48"/>
    </row>
    <row r="413" spans="2:17" s="46" customFormat="1" ht="15" customHeight="1">
      <c r="B413" s="47"/>
      <c r="C413" s="48"/>
      <c r="D413" s="48"/>
      <c r="E413" s="48"/>
      <c r="F413" s="48"/>
      <c r="G413" s="48"/>
      <c r="H413" s="48"/>
      <c r="I413" s="48"/>
      <c r="J413" s="48"/>
      <c r="K413" s="48"/>
      <c r="L413" s="48"/>
      <c r="M413" s="48"/>
      <c r="N413" s="48"/>
      <c r="O413" s="48"/>
      <c r="P413" s="48"/>
      <c r="Q413" s="48"/>
    </row>
    <row r="414" spans="2:17" s="46" customFormat="1" ht="15" customHeight="1">
      <c r="B414" s="47"/>
      <c r="C414" s="48"/>
      <c r="D414" s="48"/>
      <c r="E414" s="48"/>
      <c r="F414" s="48"/>
      <c r="G414" s="48"/>
      <c r="H414" s="48"/>
      <c r="I414" s="48"/>
      <c r="J414" s="48"/>
      <c r="K414" s="48"/>
      <c r="L414" s="48"/>
      <c r="M414" s="48"/>
      <c r="N414" s="48"/>
      <c r="O414" s="48"/>
      <c r="P414" s="48"/>
      <c r="Q414" s="48"/>
    </row>
    <row r="415" spans="2:17" s="46" customFormat="1" ht="15" customHeight="1">
      <c r="B415" s="47"/>
      <c r="C415" s="48"/>
      <c r="D415" s="48"/>
      <c r="E415" s="48"/>
      <c r="F415" s="48"/>
      <c r="G415" s="48"/>
      <c r="H415" s="48"/>
      <c r="I415" s="48"/>
      <c r="J415" s="48"/>
      <c r="K415" s="48"/>
      <c r="L415" s="48"/>
      <c r="M415" s="48"/>
      <c r="N415" s="48"/>
      <c r="O415" s="48"/>
      <c r="P415" s="48"/>
      <c r="Q415" s="48"/>
    </row>
    <row r="416" spans="2:17" s="46" customFormat="1" ht="15" customHeight="1">
      <c r="B416" s="47"/>
      <c r="C416" s="48"/>
      <c r="D416" s="48"/>
      <c r="E416" s="48"/>
      <c r="F416" s="48"/>
      <c r="G416" s="48"/>
      <c r="H416" s="48"/>
      <c r="I416" s="48"/>
      <c r="J416" s="48"/>
      <c r="K416" s="48"/>
      <c r="L416" s="48"/>
      <c r="M416" s="48"/>
      <c r="N416" s="48"/>
      <c r="O416" s="48"/>
      <c r="P416" s="48"/>
      <c r="Q416" s="48"/>
    </row>
    <row r="417" spans="2:17" s="46" customFormat="1" ht="15" customHeight="1">
      <c r="B417" s="47"/>
      <c r="C417" s="48"/>
      <c r="D417" s="48"/>
      <c r="E417" s="48"/>
      <c r="F417" s="48"/>
      <c r="G417" s="48"/>
      <c r="H417" s="48"/>
      <c r="I417" s="48"/>
      <c r="J417" s="48"/>
      <c r="K417" s="48"/>
      <c r="L417" s="48"/>
      <c r="M417" s="48"/>
      <c r="N417" s="48"/>
      <c r="O417" s="48"/>
      <c r="P417" s="48"/>
      <c r="Q417" s="48"/>
    </row>
    <row r="418" spans="2:17" s="46" customFormat="1" ht="15" customHeight="1">
      <c r="B418" s="47"/>
      <c r="C418" s="48"/>
      <c r="D418" s="48"/>
      <c r="E418" s="48"/>
      <c r="F418" s="48"/>
      <c r="G418" s="48"/>
      <c r="H418" s="48"/>
      <c r="I418" s="48"/>
      <c r="J418" s="48"/>
      <c r="K418" s="48"/>
      <c r="L418" s="48"/>
      <c r="M418" s="48"/>
      <c r="N418" s="48"/>
      <c r="O418" s="48"/>
      <c r="P418" s="48"/>
      <c r="Q418" s="48"/>
    </row>
    <row r="419" spans="2:17" s="46" customFormat="1" ht="15" customHeight="1">
      <c r="B419" s="47"/>
      <c r="C419" s="48"/>
      <c r="D419" s="48"/>
      <c r="E419" s="48"/>
      <c r="F419" s="48"/>
      <c r="G419" s="48"/>
      <c r="H419" s="48"/>
      <c r="I419" s="48"/>
      <c r="J419" s="48"/>
      <c r="K419" s="48"/>
      <c r="L419" s="48"/>
      <c r="M419" s="48"/>
      <c r="N419" s="48"/>
      <c r="O419" s="48"/>
      <c r="P419" s="48"/>
      <c r="Q419" s="48"/>
    </row>
    <row r="420" spans="2:17" s="46" customFormat="1" ht="15" customHeight="1">
      <c r="B420" s="47"/>
      <c r="C420" s="48"/>
      <c r="D420" s="48"/>
      <c r="E420" s="48"/>
      <c r="F420" s="48"/>
      <c r="G420" s="48"/>
      <c r="H420" s="48"/>
      <c r="I420" s="48"/>
      <c r="J420" s="48"/>
      <c r="K420" s="48"/>
      <c r="L420" s="48"/>
      <c r="M420" s="48"/>
      <c r="N420" s="48"/>
      <c r="O420" s="48"/>
      <c r="P420" s="48"/>
      <c r="Q420" s="48"/>
    </row>
    <row r="421" spans="2:17" s="46" customFormat="1" ht="15" customHeight="1">
      <c r="B421" s="47"/>
      <c r="C421" s="48"/>
      <c r="D421" s="48"/>
      <c r="E421" s="48"/>
      <c r="F421" s="48"/>
      <c r="G421" s="48"/>
      <c r="H421" s="48"/>
      <c r="I421" s="48"/>
      <c r="J421" s="48"/>
      <c r="K421" s="48"/>
      <c r="L421" s="48"/>
      <c r="M421" s="48"/>
      <c r="N421" s="48"/>
      <c r="O421" s="48"/>
      <c r="P421" s="48"/>
      <c r="Q421" s="48"/>
    </row>
    <row r="422" spans="2:17" s="46" customFormat="1" ht="15" customHeight="1">
      <c r="B422" s="47"/>
      <c r="C422" s="48"/>
      <c r="D422" s="48"/>
      <c r="E422" s="48"/>
      <c r="F422" s="48"/>
      <c r="G422" s="48"/>
      <c r="H422" s="48"/>
      <c r="I422" s="48"/>
      <c r="J422" s="48"/>
      <c r="K422" s="48"/>
      <c r="L422" s="48"/>
      <c r="M422" s="48"/>
      <c r="N422" s="48"/>
      <c r="O422" s="48"/>
      <c r="P422" s="48"/>
      <c r="Q422" s="48"/>
    </row>
    <row r="423" spans="2:17" s="46" customFormat="1" ht="15" customHeight="1">
      <c r="B423" s="47"/>
      <c r="C423" s="48"/>
      <c r="D423" s="48"/>
      <c r="E423" s="48"/>
      <c r="F423" s="48"/>
      <c r="G423" s="48"/>
      <c r="H423" s="48"/>
      <c r="I423" s="48"/>
      <c r="J423" s="48"/>
      <c r="K423" s="48"/>
      <c r="L423" s="48"/>
      <c r="M423" s="48"/>
      <c r="N423" s="48"/>
      <c r="O423" s="48"/>
      <c r="P423" s="48"/>
      <c r="Q423" s="48"/>
    </row>
    <row r="424" spans="2:17" s="46" customFormat="1" ht="15" customHeight="1">
      <c r="B424" s="47"/>
      <c r="C424" s="48"/>
      <c r="D424" s="48"/>
      <c r="E424" s="48"/>
      <c r="F424" s="48"/>
      <c r="G424" s="48"/>
      <c r="H424" s="48"/>
      <c r="I424" s="48"/>
      <c r="J424" s="48"/>
      <c r="K424" s="48"/>
      <c r="L424" s="48"/>
      <c r="M424" s="48"/>
      <c r="N424" s="48"/>
      <c r="O424" s="48"/>
      <c r="P424" s="48"/>
      <c r="Q424" s="48"/>
    </row>
    <row r="425" spans="2:17" s="46" customFormat="1" ht="15" customHeight="1">
      <c r="B425" s="47"/>
      <c r="C425" s="48"/>
      <c r="D425" s="48"/>
      <c r="E425" s="48"/>
      <c r="F425" s="48"/>
      <c r="G425" s="48"/>
      <c r="H425" s="48"/>
      <c r="I425" s="48"/>
      <c r="J425" s="48"/>
      <c r="K425" s="48"/>
      <c r="L425" s="48"/>
      <c r="M425" s="48"/>
      <c r="N425" s="48"/>
      <c r="O425" s="48"/>
      <c r="P425" s="48"/>
      <c r="Q425" s="48"/>
    </row>
    <row r="426" spans="2:17" s="46" customFormat="1" ht="15" customHeight="1">
      <c r="B426" s="47"/>
      <c r="C426" s="48"/>
      <c r="D426" s="48"/>
      <c r="E426" s="48"/>
      <c r="F426" s="48"/>
      <c r="G426" s="48"/>
      <c r="H426" s="48"/>
      <c r="I426" s="48"/>
      <c r="J426" s="48"/>
      <c r="K426" s="48"/>
      <c r="L426" s="48"/>
      <c r="M426" s="48"/>
      <c r="N426" s="48"/>
      <c r="O426" s="48"/>
      <c r="P426" s="48"/>
      <c r="Q426" s="48"/>
    </row>
    <row r="427" spans="2:17" s="46" customFormat="1" ht="15" customHeight="1">
      <c r="B427" s="47"/>
      <c r="C427" s="48"/>
      <c r="D427" s="48"/>
      <c r="E427" s="48"/>
      <c r="F427" s="48"/>
      <c r="G427" s="48"/>
      <c r="H427" s="48"/>
      <c r="I427" s="48"/>
      <c r="J427" s="48"/>
      <c r="K427" s="48"/>
      <c r="L427" s="48"/>
      <c r="M427" s="48"/>
      <c r="N427" s="48"/>
      <c r="O427" s="48"/>
      <c r="P427" s="48"/>
      <c r="Q427" s="48"/>
    </row>
    <row r="428" spans="2:17" s="46" customFormat="1" ht="15" customHeight="1">
      <c r="B428" s="47"/>
      <c r="C428" s="48"/>
      <c r="D428" s="48"/>
      <c r="E428" s="48"/>
      <c r="F428" s="48"/>
      <c r="G428" s="48"/>
      <c r="H428" s="48"/>
      <c r="I428" s="48"/>
      <c r="J428" s="48"/>
      <c r="K428" s="48"/>
      <c r="L428" s="48"/>
      <c r="M428" s="48"/>
      <c r="N428" s="48"/>
      <c r="O428" s="48"/>
      <c r="P428" s="48"/>
      <c r="Q428" s="48"/>
    </row>
    <row r="429" spans="2:17" s="46" customFormat="1" ht="15" customHeight="1">
      <c r="B429" s="47"/>
      <c r="C429" s="48"/>
      <c r="D429" s="48"/>
      <c r="E429" s="48"/>
      <c r="F429" s="48"/>
      <c r="G429" s="48"/>
      <c r="H429" s="48"/>
      <c r="I429" s="48"/>
      <c r="J429" s="48"/>
      <c r="K429" s="48"/>
      <c r="L429" s="48"/>
      <c r="M429" s="48"/>
      <c r="N429" s="48"/>
      <c r="O429" s="48"/>
      <c r="P429" s="48"/>
      <c r="Q429" s="48"/>
    </row>
    <row r="430" spans="2:17" s="46" customFormat="1" ht="15" customHeight="1">
      <c r="B430" s="47"/>
      <c r="C430" s="48"/>
      <c r="D430" s="48"/>
      <c r="E430" s="48"/>
      <c r="F430" s="48"/>
      <c r="G430" s="48"/>
      <c r="H430" s="48"/>
      <c r="I430" s="48"/>
      <c r="J430" s="48"/>
      <c r="K430" s="48"/>
      <c r="L430" s="48"/>
      <c r="M430" s="48"/>
      <c r="N430" s="48"/>
      <c r="O430" s="48"/>
      <c r="P430" s="48"/>
      <c r="Q430" s="48"/>
    </row>
    <row r="431" spans="2:17" s="46" customFormat="1" ht="15" customHeight="1">
      <c r="B431" s="47"/>
      <c r="C431" s="48"/>
      <c r="D431" s="48"/>
      <c r="E431" s="48"/>
      <c r="F431" s="48"/>
      <c r="G431" s="48"/>
      <c r="H431" s="48"/>
      <c r="I431" s="48"/>
      <c r="J431" s="48"/>
      <c r="K431" s="48"/>
      <c r="L431" s="48"/>
      <c r="M431" s="48"/>
      <c r="N431" s="48"/>
      <c r="O431" s="48"/>
      <c r="P431" s="48"/>
      <c r="Q431" s="48"/>
    </row>
    <row r="432" spans="2:17" s="46" customFormat="1" ht="15" customHeight="1">
      <c r="B432" s="47"/>
      <c r="C432" s="48"/>
      <c r="D432" s="48"/>
      <c r="E432" s="48"/>
      <c r="F432" s="48"/>
      <c r="G432" s="48"/>
      <c r="H432" s="48"/>
      <c r="I432" s="48"/>
      <c r="J432" s="48"/>
      <c r="K432" s="48"/>
      <c r="L432" s="48"/>
      <c r="M432" s="48"/>
      <c r="N432" s="48"/>
      <c r="O432" s="48"/>
      <c r="P432" s="48"/>
      <c r="Q432" s="48"/>
    </row>
    <row r="433" spans="2:17" s="46" customFormat="1" ht="15" customHeight="1">
      <c r="B433" s="47"/>
      <c r="C433" s="48"/>
      <c r="D433" s="48"/>
      <c r="E433" s="48"/>
      <c r="F433" s="48"/>
      <c r="G433" s="48"/>
      <c r="H433" s="48"/>
      <c r="I433" s="48"/>
      <c r="J433" s="48"/>
      <c r="K433" s="48"/>
      <c r="L433" s="48"/>
      <c r="M433" s="48"/>
      <c r="N433" s="48"/>
      <c r="O433" s="48"/>
      <c r="P433" s="48"/>
      <c r="Q433" s="48"/>
    </row>
    <row r="434" spans="2:17" s="46" customFormat="1" ht="15" customHeight="1">
      <c r="B434" s="47"/>
      <c r="C434" s="48"/>
      <c r="D434" s="48"/>
      <c r="E434" s="48"/>
      <c r="F434" s="48"/>
      <c r="G434" s="48"/>
      <c r="H434" s="48"/>
      <c r="I434" s="48"/>
      <c r="J434" s="48"/>
      <c r="K434" s="48"/>
      <c r="L434" s="48"/>
      <c r="M434" s="48"/>
      <c r="N434" s="48"/>
      <c r="O434" s="48"/>
      <c r="P434" s="48"/>
      <c r="Q434" s="48"/>
    </row>
    <row r="435" spans="2:17" s="46" customFormat="1" ht="15" customHeight="1">
      <c r="B435" s="47"/>
      <c r="C435" s="48"/>
      <c r="D435" s="48"/>
      <c r="E435" s="48"/>
      <c r="F435" s="48"/>
      <c r="G435" s="48"/>
      <c r="H435" s="48"/>
      <c r="I435" s="48"/>
      <c r="J435" s="48"/>
      <c r="K435" s="48"/>
      <c r="L435" s="48"/>
      <c r="M435" s="48"/>
      <c r="N435" s="48"/>
      <c r="O435" s="48"/>
      <c r="P435" s="48"/>
      <c r="Q435" s="48"/>
    </row>
    <row r="436" spans="2:17" s="46" customFormat="1" ht="15" customHeight="1">
      <c r="B436" s="47"/>
      <c r="C436" s="48"/>
      <c r="D436" s="48"/>
      <c r="E436" s="48"/>
      <c r="F436" s="48"/>
      <c r="G436" s="48"/>
      <c r="H436" s="48"/>
      <c r="I436" s="48"/>
      <c r="J436" s="48"/>
      <c r="K436" s="48"/>
      <c r="L436" s="48"/>
      <c r="M436" s="48"/>
      <c r="N436" s="48"/>
      <c r="O436" s="48"/>
      <c r="P436" s="48"/>
      <c r="Q436" s="48"/>
    </row>
    <row r="437" spans="2:17" s="46" customFormat="1" ht="15" customHeight="1">
      <c r="B437" s="47"/>
      <c r="C437" s="48"/>
      <c r="D437" s="48"/>
      <c r="E437" s="48"/>
      <c r="F437" s="48"/>
      <c r="G437" s="48"/>
      <c r="H437" s="48"/>
      <c r="I437" s="48"/>
      <c r="J437" s="48"/>
      <c r="K437" s="48"/>
      <c r="L437" s="48"/>
      <c r="M437" s="48"/>
      <c r="N437" s="48"/>
      <c r="O437" s="48"/>
      <c r="P437" s="48"/>
      <c r="Q437" s="48"/>
    </row>
    <row r="438" spans="2:17" s="46" customFormat="1" ht="15" customHeight="1">
      <c r="B438" s="47"/>
      <c r="C438" s="48"/>
      <c r="D438" s="48"/>
      <c r="E438" s="48"/>
      <c r="F438" s="48"/>
      <c r="G438" s="48"/>
      <c r="H438" s="48"/>
      <c r="I438" s="48"/>
      <c r="J438" s="48"/>
      <c r="K438" s="48"/>
      <c r="L438" s="48"/>
      <c r="M438" s="48"/>
      <c r="N438" s="48"/>
      <c r="O438" s="48"/>
      <c r="P438" s="48"/>
      <c r="Q438" s="48"/>
    </row>
    <row r="439" spans="2:17" s="46" customFormat="1" ht="15" customHeight="1">
      <c r="B439" s="47"/>
      <c r="C439" s="48"/>
      <c r="D439" s="48"/>
      <c r="E439" s="48"/>
      <c r="F439" s="48"/>
      <c r="G439" s="48"/>
      <c r="H439" s="48"/>
      <c r="I439" s="48"/>
      <c r="J439" s="48"/>
      <c r="K439" s="48"/>
      <c r="L439" s="48"/>
      <c r="M439" s="48"/>
      <c r="N439" s="48"/>
      <c r="O439" s="48"/>
      <c r="P439" s="48"/>
      <c r="Q439" s="48"/>
    </row>
    <row r="440" spans="2:17" s="46" customFormat="1" ht="15" customHeight="1">
      <c r="B440" s="47"/>
      <c r="C440" s="48"/>
      <c r="D440" s="48"/>
      <c r="E440" s="48"/>
      <c r="F440" s="48"/>
      <c r="G440" s="48"/>
      <c r="H440" s="48"/>
      <c r="I440" s="48"/>
      <c r="J440" s="48"/>
      <c r="K440" s="48"/>
      <c r="L440" s="48"/>
      <c r="M440" s="48"/>
      <c r="N440" s="48"/>
      <c r="O440" s="48"/>
      <c r="P440" s="48"/>
      <c r="Q440" s="48"/>
    </row>
    <row r="441" spans="2:17" s="46" customFormat="1" ht="15" customHeight="1">
      <c r="B441" s="47"/>
      <c r="C441" s="48"/>
      <c r="D441" s="48"/>
      <c r="E441" s="48"/>
      <c r="F441" s="48"/>
      <c r="G441" s="48"/>
      <c r="H441" s="48"/>
      <c r="I441" s="48"/>
      <c r="J441" s="48"/>
      <c r="K441" s="48"/>
      <c r="L441" s="48"/>
      <c r="M441" s="48"/>
      <c r="N441" s="48"/>
      <c r="O441" s="48"/>
      <c r="P441" s="48"/>
      <c r="Q441" s="48"/>
    </row>
    <row r="442" spans="2:17" s="46" customFormat="1" ht="15" customHeight="1">
      <c r="B442" s="47"/>
      <c r="C442" s="48"/>
      <c r="D442" s="48"/>
      <c r="E442" s="48"/>
      <c r="F442" s="48"/>
      <c r="G442" s="48"/>
      <c r="H442" s="48"/>
      <c r="I442" s="48"/>
      <c r="J442" s="48"/>
      <c r="K442" s="48"/>
      <c r="L442" s="48"/>
      <c r="M442" s="48"/>
      <c r="N442" s="48"/>
      <c r="O442" s="48"/>
      <c r="P442" s="48"/>
      <c r="Q442" s="48"/>
    </row>
    <row r="443" spans="2:17" s="46" customFormat="1" ht="15" customHeight="1">
      <c r="B443" s="47"/>
      <c r="C443" s="48"/>
      <c r="D443" s="48"/>
      <c r="E443" s="48"/>
      <c r="F443" s="48"/>
      <c r="G443" s="48"/>
      <c r="H443" s="48"/>
      <c r="I443" s="48"/>
      <c r="J443" s="48"/>
      <c r="K443" s="48"/>
      <c r="L443" s="48"/>
      <c r="M443" s="48"/>
      <c r="N443" s="48"/>
      <c r="O443" s="48"/>
      <c r="P443" s="48"/>
      <c r="Q443" s="48"/>
    </row>
    <row r="444" spans="2:17" s="46" customFormat="1" ht="15" customHeight="1">
      <c r="B444" s="47"/>
      <c r="C444" s="48"/>
      <c r="D444" s="48"/>
      <c r="E444" s="48"/>
      <c r="F444" s="48"/>
      <c r="G444" s="48"/>
      <c r="H444" s="48"/>
      <c r="I444" s="48"/>
      <c r="J444" s="48"/>
      <c r="K444" s="48"/>
      <c r="L444" s="48"/>
      <c r="M444" s="48"/>
      <c r="N444" s="48"/>
      <c r="O444" s="48"/>
      <c r="P444" s="48"/>
      <c r="Q444" s="48"/>
    </row>
    <row r="445" spans="2:17" s="46" customFormat="1" ht="15" customHeight="1">
      <c r="B445" s="47"/>
      <c r="C445" s="48"/>
      <c r="D445" s="48"/>
      <c r="E445" s="48"/>
      <c r="F445" s="48"/>
      <c r="G445" s="48"/>
      <c r="H445" s="48"/>
      <c r="I445" s="48"/>
      <c r="J445" s="48"/>
      <c r="K445" s="48"/>
      <c r="L445" s="48"/>
      <c r="M445" s="48"/>
      <c r="N445" s="48"/>
      <c r="O445" s="48"/>
      <c r="P445" s="48"/>
      <c r="Q445" s="48"/>
    </row>
    <row r="446" spans="2:17" s="46" customFormat="1" ht="15" customHeight="1">
      <c r="B446" s="47"/>
      <c r="C446" s="48"/>
      <c r="D446" s="48"/>
      <c r="E446" s="48"/>
      <c r="F446" s="48"/>
      <c r="G446" s="48"/>
      <c r="H446" s="48"/>
      <c r="I446" s="48"/>
      <c r="J446" s="48"/>
      <c r="K446" s="48"/>
      <c r="L446" s="48"/>
      <c r="M446" s="48"/>
      <c r="N446" s="48"/>
      <c r="O446" s="48"/>
      <c r="P446" s="48"/>
      <c r="Q446" s="48"/>
    </row>
    <row r="447" spans="2:17" s="46" customFormat="1" ht="15" customHeight="1">
      <c r="B447" s="47"/>
      <c r="C447" s="48"/>
      <c r="D447" s="48"/>
      <c r="E447" s="48"/>
      <c r="F447" s="48"/>
      <c r="G447" s="48"/>
      <c r="H447" s="48"/>
      <c r="I447" s="48"/>
      <c r="J447" s="48"/>
      <c r="K447" s="48"/>
      <c r="L447" s="48"/>
      <c r="M447" s="48"/>
      <c r="N447" s="48"/>
      <c r="O447" s="48"/>
      <c r="P447" s="48"/>
      <c r="Q447" s="48"/>
    </row>
    <row r="448" spans="2:17" s="46" customFormat="1" ht="15" customHeight="1">
      <c r="B448" s="47"/>
      <c r="C448" s="48"/>
      <c r="D448" s="48"/>
      <c r="E448" s="48"/>
      <c r="F448" s="48"/>
      <c r="G448" s="48"/>
      <c r="H448" s="48"/>
      <c r="I448" s="48"/>
      <c r="J448" s="48"/>
      <c r="K448" s="48"/>
      <c r="L448" s="48"/>
      <c r="M448" s="48"/>
      <c r="N448" s="48"/>
      <c r="O448" s="48"/>
      <c r="P448" s="48"/>
      <c r="Q448" s="48"/>
    </row>
    <row r="449" spans="2:17" s="46" customFormat="1" ht="15" customHeight="1">
      <c r="B449" s="47"/>
      <c r="C449" s="48"/>
      <c r="D449" s="48"/>
      <c r="E449" s="48"/>
      <c r="F449" s="48"/>
      <c r="G449" s="48"/>
      <c r="H449" s="48"/>
      <c r="I449" s="48"/>
      <c r="J449" s="48"/>
      <c r="K449" s="48"/>
      <c r="L449" s="48"/>
      <c r="M449" s="48"/>
      <c r="N449" s="48"/>
      <c r="O449" s="48"/>
      <c r="P449" s="48"/>
      <c r="Q449" s="48"/>
    </row>
    <row r="450" spans="2:17" s="46" customFormat="1" ht="15" customHeight="1">
      <c r="B450" s="47"/>
      <c r="C450" s="48"/>
      <c r="D450" s="48"/>
      <c r="E450" s="48"/>
      <c r="F450" s="48"/>
      <c r="G450" s="48"/>
      <c r="H450" s="48"/>
      <c r="I450" s="48"/>
      <c r="J450" s="48"/>
      <c r="K450" s="48"/>
      <c r="L450" s="48"/>
      <c r="M450" s="48"/>
      <c r="N450" s="48"/>
      <c r="O450" s="48"/>
      <c r="P450" s="48"/>
      <c r="Q450" s="48"/>
    </row>
    <row r="451" spans="2:17" s="46" customFormat="1" ht="15" customHeight="1">
      <c r="B451" s="47"/>
      <c r="C451" s="48"/>
      <c r="D451" s="48"/>
      <c r="E451" s="48"/>
      <c r="F451" s="48"/>
      <c r="G451" s="48"/>
      <c r="H451" s="48"/>
      <c r="I451" s="48"/>
      <c r="J451" s="48"/>
      <c r="K451" s="48"/>
      <c r="L451" s="48"/>
      <c r="M451" s="48"/>
      <c r="N451" s="48"/>
      <c r="O451" s="48"/>
      <c r="P451" s="48"/>
      <c r="Q451" s="48"/>
    </row>
    <row r="452" spans="2:17" s="46" customFormat="1" ht="15" customHeight="1">
      <c r="B452" s="47"/>
      <c r="C452" s="48"/>
      <c r="D452" s="48"/>
      <c r="E452" s="48"/>
      <c r="F452" s="48"/>
      <c r="G452" s="48"/>
      <c r="H452" s="48"/>
      <c r="I452" s="48"/>
      <c r="J452" s="48"/>
      <c r="K452" s="48"/>
      <c r="L452" s="48"/>
      <c r="M452" s="48"/>
      <c r="N452" s="48"/>
      <c r="O452" s="48"/>
      <c r="P452" s="48"/>
      <c r="Q452" s="48"/>
    </row>
    <row r="453" spans="2:17" s="46" customFormat="1" ht="15" customHeight="1">
      <c r="B453" s="47"/>
      <c r="C453" s="48"/>
      <c r="D453" s="48"/>
      <c r="E453" s="48"/>
      <c r="F453" s="48"/>
      <c r="G453" s="48"/>
      <c r="H453" s="48"/>
      <c r="I453" s="48"/>
      <c r="J453" s="48"/>
      <c r="K453" s="48"/>
      <c r="L453" s="48"/>
      <c r="M453" s="48"/>
      <c r="N453" s="48"/>
      <c r="O453" s="48"/>
      <c r="P453" s="48"/>
      <c r="Q453" s="48"/>
    </row>
    <row r="454" spans="2:17" s="46" customFormat="1" ht="15" customHeight="1">
      <c r="B454" s="47"/>
      <c r="C454" s="48"/>
      <c r="D454" s="48"/>
      <c r="E454" s="48"/>
      <c r="F454" s="48"/>
      <c r="G454" s="48"/>
      <c r="H454" s="48"/>
      <c r="I454" s="48"/>
      <c r="J454" s="48"/>
      <c r="K454" s="48"/>
      <c r="L454" s="48"/>
      <c r="M454" s="48"/>
      <c r="N454" s="48"/>
      <c r="O454" s="48"/>
      <c r="P454" s="48"/>
      <c r="Q454" s="48"/>
    </row>
    <row r="455" spans="2:17" s="46" customFormat="1" ht="15" customHeight="1">
      <c r="B455" s="47"/>
      <c r="C455" s="48"/>
      <c r="D455" s="48"/>
      <c r="E455" s="48"/>
      <c r="F455" s="48"/>
      <c r="G455" s="48"/>
      <c r="H455" s="48"/>
      <c r="I455" s="48"/>
      <c r="J455" s="48"/>
      <c r="K455" s="48"/>
      <c r="L455" s="48"/>
      <c r="M455" s="48"/>
      <c r="N455" s="48"/>
      <c r="O455" s="48"/>
      <c r="P455" s="48"/>
      <c r="Q455" s="48"/>
    </row>
    <row r="456" spans="2:17" s="46" customFormat="1" ht="15" customHeight="1">
      <c r="B456" s="47"/>
      <c r="C456" s="48"/>
      <c r="D456" s="48"/>
      <c r="E456" s="48"/>
      <c r="F456" s="48"/>
      <c r="G456" s="48"/>
      <c r="H456" s="48"/>
      <c r="I456" s="48"/>
      <c r="J456" s="48"/>
      <c r="K456" s="48"/>
      <c r="L456" s="48"/>
      <c r="M456" s="48"/>
      <c r="N456" s="48"/>
      <c r="O456" s="48"/>
      <c r="P456" s="48"/>
      <c r="Q456" s="48"/>
    </row>
    <row r="457" spans="2:17" s="46" customFormat="1" ht="15" customHeight="1">
      <c r="B457" s="47"/>
      <c r="C457" s="48"/>
      <c r="D457" s="48"/>
      <c r="E457" s="48"/>
      <c r="F457" s="48"/>
      <c r="G457" s="48"/>
      <c r="H457" s="48"/>
      <c r="I457" s="48"/>
      <c r="J457" s="48"/>
      <c r="K457" s="48"/>
      <c r="L457" s="48"/>
      <c r="M457" s="48"/>
      <c r="N457" s="48"/>
      <c r="O457" s="48"/>
      <c r="P457" s="48"/>
      <c r="Q457" s="48"/>
    </row>
    <row r="458" spans="2:17" s="46" customFormat="1" ht="15" customHeight="1">
      <c r="B458" s="47"/>
      <c r="C458" s="48"/>
      <c r="D458" s="48"/>
      <c r="E458" s="48"/>
      <c r="F458" s="48"/>
      <c r="G458" s="48"/>
      <c r="H458" s="48"/>
      <c r="I458" s="48"/>
      <c r="J458" s="48"/>
      <c r="K458" s="48"/>
      <c r="L458" s="48"/>
      <c r="M458" s="48"/>
      <c r="N458" s="48"/>
      <c r="O458" s="48"/>
      <c r="P458" s="48"/>
      <c r="Q458" s="48"/>
    </row>
    <row r="459" spans="2:17" s="46" customFormat="1" ht="15" customHeight="1">
      <c r="B459" s="47"/>
      <c r="C459" s="48"/>
      <c r="D459" s="48"/>
      <c r="E459" s="48"/>
      <c r="F459" s="48"/>
      <c r="G459" s="48"/>
      <c r="H459" s="48"/>
      <c r="I459" s="48"/>
      <c r="J459" s="48"/>
      <c r="K459" s="48"/>
      <c r="L459" s="48"/>
      <c r="M459" s="48"/>
      <c r="N459" s="48"/>
      <c r="O459" s="48"/>
      <c r="P459" s="48"/>
      <c r="Q459" s="48"/>
    </row>
    <row r="460" spans="2:17" s="46" customFormat="1" ht="15" customHeight="1">
      <c r="B460" s="47"/>
      <c r="C460" s="48"/>
      <c r="D460" s="48"/>
      <c r="E460" s="48"/>
      <c r="F460" s="48"/>
      <c r="G460" s="48"/>
      <c r="H460" s="48"/>
      <c r="I460" s="48"/>
      <c r="J460" s="48"/>
      <c r="K460" s="48"/>
      <c r="L460" s="48"/>
      <c r="M460" s="48"/>
      <c r="N460" s="48"/>
      <c r="O460" s="48"/>
      <c r="P460" s="48"/>
      <c r="Q460" s="48"/>
    </row>
    <row r="461" spans="2:17" s="46" customFormat="1" ht="15" customHeight="1">
      <c r="B461" s="47"/>
      <c r="C461" s="48"/>
      <c r="D461" s="48"/>
      <c r="E461" s="48"/>
      <c r="F461" s="48"/>
      <c r="G461" s="48"/>
      <c r="H461" s="48"/>
      <c r="I461" s="48"/>
      <c r="J461" s="48"/>
      <c r="K461" s="48"/>
      <c r="L461" s="48"/>
      <c r="M461" s="48"/>
      <c r="N461" s="48"/>
      <c r="O461" s="48"/>
      <c r="P461" s="48"/>
      <c r="Q461" s="48"/>
    </row>
    <row r="462" spans="2:17" s="46" customFormat="1" ht="15" customHeight="1">
      <c r="B462" s="47"/>
      <c r="C462" s="48"/>
      <c r="D462" s="48"/>
      <c r="E462" s="48"/>
      <c r="F462" s="48"/>
      <c r="G462" s="48"/>
      <c r="H462" s="48"/>
      <c r="I462" s="48"/>
      <c r="J462" s="48"/>
      <c r="K462" s="48"/>
      <c r="L462" s="48"/>
      <c r="M462" s="48"/>
      <c r="N462" s="48"/>
      <c r="O462" s="48"/>
      <c r="P462" s="48"/>
      <c r="Q462" s="48"/>
    </row>
    <row r="463" spans="2:17" s="46" customFormat="1" ht="15" customHeight="1">
      <c r="B463" s="47"/>
      <c r="C463" s="48"/>
      <c r="D463" s="48"/>
      <c r="E463" s="48"/>
      <c r="F463" s="48"/>
      <c r="G463" s="48"/>
      <c r="H463" s="48"/>
      <c r="I463" s="48"/>
      <c r="J463" s="48"/>
      <c r="K463" s="48"/>
      <c r="L463" s="48"/>
      <c r="M463" s="48"/>
      <c r="N463" s="48"/>
      <c r="O463" s="48"/>
      <c r="P463" s="48"/>
      <c r="Q463" s="48"/>
    </row>
    <row r="464" spans="2:17" s="46" customFormat="1" ht="15" customHeight="1">
      <c r="B464" s="47"/>
      <c r="C464" s="48"/>
      <c r="D464" s="48"/>
      <c r="E464" s="48"/>
      <c r="F464" s="48"/>
      <c r="G464" s="48"/>
      <c r="H464" s="48"/>
      <c r="I464" s="48"/>
      <c r="J464" s="48"/>
      <c r="K464" s="48"/>
      <c r="L464" s="48"/>
      <c r="M464" s="48"/>
      <c r="N464" s="48"/>
      <c r="O464" s="48"/>
      <c r="P464" s="48"/>
      <c r="Q464" s="48"/>
    </row>
    <row r="465" spans="2:17" s="46" customFormat="1" ht="15" customHeight="1">
      <c r="B465" s="47"/>
      <c r="C465" s="48"/>
      <c r="D465" s="48"/>
      <c r="E465" s="48"/>
      <c r="F465" s="48"/>
      <c r="G465" s="48"/>
      <c r="H465" s="48"/>
      <c r="I465" s="48"/>
      <c r="J465" s="48"/>
      <c r="K465" s="48"/>
      <c r="L465" s="48"/>
      <c r="M465" s="48"/>
      <c r="N465" s="48"/>
      <c r="O465" s="48"/>
      <c r="P465" s="48"/>
      <c r="Q465" s="48"/>
    </row>
    <row r="466" spans="2:17" s="46" customFormat="1" ht="15" customHeight="1">
      <c r="B466" s="47"/>
      <c r="C466" s="48"/>
      <c r="D466" s="48"/>
      <c r="E466" s="48"/>
      <c r="F466" s="48"/>
      <c r="G466" s="48"/>
      <c r="H466" s="48"/>
      <c r="I466" s="48"/>
      <c r="J466" s="48"/>
      <c r="K466" s="48"/>
      <c r="L466" s="48"/>
      <c r="M466" s="48"/>
      <c r="N466" s="48"/>
      <c r="O466" s="48"/>
      <c r="P466" s="48"/>
      <c r="Q466" s="48"/>
    </row>
    <row r="467" spans="2:17" s="46" customFormat="1" ht="15" customHeight="1">
      <c r="B467" s="47"/>
      <c r="C467" s="48"/>
      <c r="D467" s="48"/>
      <c r="E467" s="48"/>
      <c r="F467" s="48"/>
      <c r="G467" s="48"/>
      <c r="H467" s="48"/>
      <c r="I467" s="48"/>
      <c r="J467" s="48"/>
      <c r="K467" s="48"/>
      <c r="L467" s="48"/>
      <c r="M467" s="48"/>
      <c r="N467" s="48"/>
      <c r="O467" s="48"/>
      <c r="P467" s="48"/>
      <c r="Q467" s="48"/>
    </row>
    <row r="468" spans="2:17" s="46" customFormat="1" ht="15" customHeight="1">
      <c r="B468" s="47"/>
      <c r="C468" s="48"/>
      <c r="D468" s="48"/>
      <c r="E468" s="48"/>
      <c r="F468" s="48"/>
      <c r="G468" s="48"/>
      <c r="H468" s="48"/>
      <c r="I468" s="48"/>
      <c r="J468" s="48"/>
      <c r="K468" s="48"/>
      <c r="L468" s="48"/>
      <c r="M468" s="48"/>
      <c r="N468" s="48"/>
      <c r="O468" s="48"/>
      <c r="P468" s="48"/>
      <c r="Q468" s="48"/>
    </row>
    <row r="469" spans="2:17" s="46" customFormat="1" ht="15" customHeight="1">
      <c r="B469" s="47"/>
      <c r="C469" s="48"/>
      <c r="D469" s="48"/>
      <c r="E469" s="48"/>
      <c r="F469" s="48"/>
      <c r="G469" s="48"/>
      <c r="H469" s="48"/>
      <c r="I469" s="48"/>
      <c r="J469" s="48"/>
      <c r="K469" s="48"/>
      <c r="L469" s="48"/>
      <c r="M469" s="48"/>
      <c r="N469" s="48"/>
      <c r="O469" s="48"/>
      <c r="P469" s="48"/>
      <c r="Q469" s="48"/>
    </row>
    <row r="470" spans="2:17" s="46" customFormat="1" ht="15" customHeight="1">
      <c r="B470" s="47"/>
      <c r="C470" s="48"/>
      <c r="D470" s="48"/>
      <c r="E470" s="48"/>
      <c r="F470" s="48"/>
      <c r="G470" s="48"/>
      <c r="H470" s="48"/>
      <c r="I470" s="48"/>
      <c r="J470" s="48"/>
      <c r="K470" s="48"/>
      <c r="L470" s="48"/>
      <c r="M470" s="48"/>
      <c r="N470" s="48"/>
      <c r="O470" s="48"/>
      <c r="P470" s="48"/>
      <c r="Q470" s="48"/>
    </row>
    <row r="471" spans="2:17" s="46" customFormat="1" ht="15" customHeight="1">
      <c r="B471" s="47"/>
      <c r="C471" s="48"/>
      <c r="D471" s="48"/>
      <c r="E471" s="48"/>
      <c r="F471" s="48"/>
      <c r="G471" s="48"/>
      <c r="H471" s="48"/>
      <c r="I471" s="48"/>
      <c r="J471" s="48"/>
      <c r="K471" s="48"/>
      <c r="L471" s="48"/>
      <c r="M471" s="48"/>
      <c r="N471" s="48"/>
      <c r="O471" s="48"/>
      <c r="P471" s="48"/>
      <c r="Q471" s="48"/>
    </row>
    <row r="472" spans="2:17" s="46" customFormat="1" ht="15" customHeight="1">
      <c r="B472" s="47"/>
      <c r="C472" s="48"/>
      <c r="D472" s="48"/>
      <c r="E472" s="48"/>
      <c r="F472" s="48"/>
      <c r="G472" s="48"/>
      <c r="H472" s="48"/>
      <c r="I472" s="48"/>
      <c r="J472" s="48"/>
      <c r="K472" s="48"/>
      <c r="L472" s="48"/>
      <c r="M472" s="48"/>
      <c r="N472" s="48"/>
      <c r="O472" s="48"/>
      <c r="P472" s="48"/>
      <c r="Q472" s="48"/>
    </row>
    <row r="473" spans="2:17" s="46" customFormat="1" ht="15" customHeight="1">
      <c r="B473" s="47"/>
      <c r="C473" s="48"/>
      <c r="D473" s="48"/>
      <c r="E473" s="48"/>
      <c r="F473" s="48"/>
      <c r="G473" s="48"/>
      <c r="H473" s="48"/>
      <c r="I473" s="48"/>
      <c r="J473" s="48"/>
      <c r="K473" s="48"/>
      <c r="L473" s="48"/>
      <c r="M473" s="48"/>
      <c r="N473" s="48"/>
      <c r="O473" s="48"/>
      <c r="P473" s="48"/>
      <c r="Q473" s="48"/>
    </row>
    <row r="474" spans="2:17" s="46" customFormat="1" ht="15" customHeight="1">
      <c r="B474" s="47"/>
      <c r="C474" s="48"/>
      <c r="D474" s="48"/>
      <c r="E474" s="48"/>
      <c r="F474" s="48"/>
      <c r="G474" s="48"/>
      <c r="H474" s="48"/>
      <c r="I474" s="48"/>
      <c r="J474" s="48"/>
      <c r="K474" s="48"/>
      <c r="L474" s="48"/>
      <c r="M474" s="48"/>
      <c r="N474" s="48"/>
      <c r="O474" s="48"/>
      <c r="P474" s="48"/>
      <c r="Q474" s="48"/>
    </row>
    <row r="475" spans="2:17" s="46" customFormat="1" ht="15" customHeight="1">
      <c r="B475" s="47"/>
      <c r="C475" s="48"/>
      <c r="D475" s="48"/>
      <c r="E475" s="48"/>
      <c r="F475" s="48"/>
      <c r="G475" s="48"/>
      <c r="H475" s="48"/>
      <c r="I475" s="48"/>
      <c r="J475" s="48"/>
      <c r="K475" s="48"/>
      <c r="L475" s="48"/>
      <c r="M475" s="48"/>
      <c r="N475" s="48"/>
      <c r="O475" s="48"/>
      <c r="P475" s="48"/>
      <c r="Q475" s="48"/>
    </row>
    <row r="476" spans="2:17" s="46" customFormat="1" ht="15" customHeight="1">
      <c r="B476" s="47"/>
      <c r="C476" s="48"/>
      <c r="D476" s="48"/>
      <c r="E476" s="48"/>
      <c r="F476" s="48"/>
      <c r="G476" s="48"/>
      <c r="H476" s="48"/>
      <c r="I476" s="48"/>
      <c r="J476" s="48"/>
      <c r="K476" s="48"/>
      <c r="L476" s="48"/>
      <c r="M476" s="48"/>
      <c r="N476" s="48"/>
      <c r="O476" s="48"/>
      <c r="P476" s="48"/>
      <c r="Q476" s="48"/>
    </row>
    <row r="477" spans="2:17" s="46" customFormat="1" ht="15" customHeight="1">
      <c r="B477" s="47"/>
      <c r="C477" s="48"/>
      <c r="D477" s="48"/>
      <c r="E477" s="48"/>
      <c r="F477" s="48"/>
      <c r="G477" s="48"/>
      <c r="H477" s="48"/>
      <c r="I477" s="48"/>
      <c r="J477" s="48"/>
      <c r="K477" s="48"/>
      <c r="L477" s="48"/>
      <c r="M477" s="48"/>
      <c r="N477" s="48"/>
      <c r="O477" s="48"/>
      <c r="P477" s="48"/>
      <c r="Q477" s="48"/>
    </row>
    <row r="478" spans="2:17" s="46" customFormat="1" ht="15" customHeight="1">
      <c r="B478" s="47"/>
      <c r="C478" s="48"/>
      <c r="D478" s="48"/>
      <c r="E478" s="48"/>
      <c r="F478" s="48"/>
      <c r="G478" s="48"/>
      <c r="H478" s="48"/>
      <c r="I478" s="48"/>
      <c r="J478" s="48"/>
      <c r="K478" s="48"/>
      <c r="L478" s="48"/>
      <c r="M478" s="48"/>
      <c r="N478" s="48"/>
      <c r="O478" s="48"/>
      <c r="P478" s="48"/>
      <c r="Q478" s="48"/>
    </row>
    <row r="479" spans="2:17" s="46" customFormat="1" ht="15" customHeight="1">
      <c r="B479" s="47"/>
      <c r="C479" s="48"/>
      <c r="D479" s="48"/>
      <c r="E479" s="48"/>
      <c r="F479" s="48"/>
      <c r="G479" s="48"/>
      <c r="H479" s="48"/>
      <c r="I479" s="48"/>
      <c r="J479" s="48"/>
      <c r="K479" s="48"/>
      <c r="L479" s="48"/>
      <c r="M479" s="48"/>
      <c r="N479" s="48"/>
      <c r="O479" s="48"/>
      <c r="P479" s="48"/>
      <c r="Q479" s="48"/>
    </row>
    <row r="480" spans="2:17" s="46" customFormat="1" ht="15" customHeight="1">
      <c r="B480" s="47"/>
      <c r="C480" s="48"/>
      <c r="D480" s="48"/>
      <c r="E480" s="48"/>
      <c r="F480" s="48"/>
      <c r="G480" s="48"/>
      <c r="H480" s="48"/>
      <c r="I480" s="48"/>
      <c r="J480" s="48"/>
      <c r="K480" s="48"/>
      <c r="L480" s="48"/>
      <c r="M480" s="48"/>
      <c r="N480" s="48"/>
      <c r="O480" s="48"/>
      <c r="P480" s="48"/>
      <c r="Q480" s="48"/>
    </row>
    <row r="481" spans="2:17" s="46" customFormat="1" ht="15" customHeight="1">
      <c r="B481" s="47"/>
      <c r="C481" s="48"/>
      <c r="D481" s="48"/>
      <c r="E481" s="48"/>
      <c r="F481" s="48"/>
      <c r="G481" s="48"/>
      <c r="H481" s="48"/>
      <c r="I481" s="48"/>
      <c r="J481" s="48"/>
      <c r="K481" s="48"/>
      <c r="L481" s="48"/>
      <c r="M481" s="48"/>
      <c r="N481" s="48"/>
      <c r="O481" s="48"/>
      <c r="P481" s="48"/>
      <c r="Q481" s="48"/>
    </row>
    <row r="482" spans="2:17" s="46" customFormat="1" ht="15" customHeight="1">
      <c r="B482" s="47"/>
      <c r="C482" s="48"/>
      <c r="D482" s="48"/>
      <c r="E482" s="48"/>
      <c r="F482" s="48"/>
      <c r="G482" s="48"/>
      <c r="H482" s="48"/>
      <c r="I482" s="48"/>
      <c r="J482" s="48"/>
      <c r="K482" s="48"/>
      <c r="L482" s="48"/>
      <c r="M482" s="48"/>
      <c r="N482" s="48"/>
      <c r="O482" s="48"/>
      <c r="P482" s="48"/>
      <c r="Q482" s="48"/>
    </row>
    <row r="483" spans="2:17" s="46" customFormat="1" ht="15" customHeight="1">
      <c r="B483" s="47"/>
      <c r="C483" s="48"/>
      <c r="D483" s="48"/>
      <c r="E483" s="48"/>
      <c r="F483" s="48"/>
      <c r="G483" s="48"/>
      <c r="H483" s="48"/>
      <c r="I483" s="48"/>
      <c r="J483" s="48"/>
      <c r="K483" s="48"/>
      <c r="L483" s="48"/>
      <c r="M483" s="48"/>
      <c r="N483" s="48"/>
      <c r="O483" s="48"/>
      <c r="P483" s="48"/>
      <c r="Q483" s="48"/>
    </row>
    <row r="484" spans="2:17" s="46" customFormat="1" ht="15" customHeight="1">
      <c r="B484" s="47"/>
      <c r="C484" s="48"/>
      <c r="D484" s="48"/>
      <c r="E484" s="48"/>
      <c r="F484" s="48"/>
      <c r="G484" s="48"/>
      <c r="H484" s="48"/>
      <c r="I484" s="48"/>
      <c r="J484" s="48"/>
      <c r="K484" s="48"/>
      <c r="L484" s="48"/>
      <c r="M484" s="48"/>
      <c r="N484" s="48"/>
      <c r="O484" s="48"/>
      <c r="P484" s="48"/>
      <c r="Q484" s="48"/>
    </row>
    <row r="485" spans="2:17" s="46" customFormat="1" ht="15" customHeight="1">
      <c r="B485" s="47"/>
      <c r="C485" s="48"/>
      <c r="D485" s="48"/>
      <c r="E485" s="48"/>
      <c r="F485" s="48"/>
      <c r="G485" s="48"/>
      <c r="H485" s="48"/>
      <c r="I485" s="48"/>
      <c r="J485" s="48"/>
      <c r="K485" s="48"/>
      <c r="L485" s="48"/>
      <c r="M485" s="48"/>
      <c r="N485" s="48"/>
      <c r="O485" s="48"/>
      <c r="P485" s="48"/>
      <c r="Q485" s="48"/>
    </row>
    <row r="486" spans="2:17" s="46" customFormat="1" ht="15" customHeight="1">
      <c r="B486" s="47"/>
      <c r="C486" s="48"/>
      <c r="D486" s="48"/>
      <c r="E486" s="48"/>
      <c r="F486" s="48"/>
      <c r="G486" s="48"/>
      <c r="H486" s="48"/>
      <c r="I486" s="48"/>
      <c r="J486" s="48"/>
      <c r="K486" s="48"/>
      <c r="L486" s="48"/>
      <c r="M486" s="48"/>
      <c r="N486" s="48"/>
      <c r="O486" s="48"/>
      <c r="P486" s="48"/>
      <c r="Q486" s="48"/>
    </row>
    <row r="487" spans="2:17" s="46" customFormat="1" ht="15" customHeight="1">
      <c r="B487" s="47"/>
      <c r="C487" s="48"/>
      <c r="D487" s="48"/>
      <c r="E487" s="48"/>
      <c r="F487" s="48"/>
      <c r="G487" s="48"/>
      <c r="H487" s="48"/>
      <c r="I487" s="48"/>
      <c r="J487" s="48"/>
      <c r="K487" s="48"/>
      <c r="L487" s="48"/>
      <c r="M487" s="48"/>
      <c r="N487" s="48"/>
      <c r="O487" s="48"/>
      <c r="P487" s="48"/>
      <c r="Q487" s="48"/>
    </row>
    <row r="488" spans="2:17" s="46" customFormat="1" ht="15" customHeight="1">
      <c r="B488" s="47"/>
      <c r="C488" s="48"/>
      <c r="D488" s="48"/>
      <c r="E488" s="48"/>
      <c r="F488" s="48"/>
      <c r="G488" s="48"/>
      <c r="H488" s="48"/>
      <c r="I488" s="48"/>
      <c r="J488" s="48"/>
      <c r="K488" s="48"/>
      <c r="L488" s="48"/>
      <c r="M488" s="48"/>
      <c r="N488" s="48"/>
      <c r="O488" s="48"/>
      <c r="P488" s="48"/>
      <c r="Q488" s="48"/>
    </row>
    <row r="489" spans="2:17" s="46" customFormat="1" ht="15" customHeight="1">
      <c r="B489" s="47"/>
      <c r="C489" s="48"/>
      <c r="D489" s="48"/>
      <c r="E489" s="48"/>
      <c r="F489" s="48"/>
      <c r="G489" s="48"/>
      <c r="H489" s="48"/>
      <c r="I489" s="48"/>
      <c r="J489" s="48"/>
      <c r="K489" s="48"/>
      <c r="L489" s="48"/>
      <c r="M489" s="48"/>
      <c r="N489" s="48"/>
      <c r="O489" s="48"/>
      <c r="P489" s="48"/>
      <c r="Q489" s="48"/>
    </row>
    <row r="490" spans="2:17" s="46" customFormat="1" ht="15" customHeight="1">
      <c r="B490" s="47"/>
      <c r="C490" s="48"/>
      <c r="D490" s="48"/>
      <c r="E490" s="48"/>
      <c r="F490" s="48"/>
      <c r="G490" s="48"/>
      <c r="H490" s="48"/>
      <c r="I490" s="48"/>
      <c r="J490" s="48"/>
      <c r="K490" s="48"/>
      <c r="L490" s="48"/>
      <c r="M490" s="48"/>
      <c r="N490" s="48"/>
      <c r="O490" s="48"/>
      <c r="P490" s="48"/>
      <c r="Q490" s="48"/>
    </row>
    <row r="491" spans="2:17" s="46" customFormat="1" ht="15" customHeight="1">
      <c r="B491" s="47"/>
      <c r="C491" s="48"/>
      <c r="D491" s="48"/>
      <c r="E491" s="48"/>
      <c r="F491" s="48"/>
      <c r="G491" s="48"/>
      <c r="H491" s="48"/>
      <c r="I491" s="48"/>
      <c r="J491" s="48"/>
      <c r="K491" s="48"/>
      <c r="L491" s="48"/>
      <c r="M491" s="48"/>
      <c r="N491" s="48"/>
      <c r="O491" s="48"/>
      <c r="P491" s="48"/>
      <c r="Q491" s="48"/>
    </row>
    <row r="492" spans="2:17" s="46" customFormat="1" ht="15" customHeight="1">
      <c r="B492" s="47"/>
      <c r="C492" s="48"/>
      <c r="D492" s="48"/>
      <c r="E492" s="48"/>
      <c r="F492" s="48"/>
      <c r="G492" s="48"/>
      <c r="H492" s="48"/>
      <c r="I492" s="48"/>
      <c r="J492" s="48"/>
      <c r="K492" s="48"/>
      <c r="L492" s="48"/>
      <c r="M492" s="48"/>
      <c r="N492" s="48"/>
      <c r="O492" s="48"/>
      <c r="P492" s="48"/>
      <c r="Q492" s="48"/>
    </row>
    <row r="493" spans="2:17" s="46" customFormat="1" ht="15" customHeight="1">
      <c r="B493" s="47"/>
      <c r="C493" s="48"/>
      <c r="D493" s="48"/>
      <c r="E493" s="48"/>
      <c r="F493" s="48"/>
      <c r="G493" s="48"/>
      <c r="H493" s="48"/>
      <c r="I493" s="48"/>
      <c r="J493" s="48"/>
      <c r="K493" s="48"/>
      <c r="L493" s="48"/>
      <c r="M493" s="48"/>
      <c r="N493" s="48"/>
      <c r="O493" s="48"/>
      <c r="P493" s="48"/>
      <c r="Q493" s="48"/>
    </row>
    <row r="494" spans="2:17" s="46" customFormat="1" ht="15" customHeight="1">
      <c r="B494" s="47"/>
      <c r="C494" s="48"/>
      <c r="D494" s="48"/>
      <c r="E494" s="48"/>
      <c r="F494" s="48"/>
      <c r="G494" s="48"/>
      <c r="H494" s="48"/>
      <c r="I494" s="48"/>
      <c r="J494" s="48"/>
      <c r="K494" s="48"/>
      <c r="L494" s="48"/>
      <c r="M494" s="48"/>
      <c r="N494" s="48"/>
      <c r="O494" s="48"/>
      <c r="P494" s="48"/>
      <c r="Q494" s="48"/>
    </row>
    <row r="495" spans="2:17" s="46" customFormat="1" ht="15" customHeight="1">
      <c r="B495" s="47"/>
      <c r="C495" s="48"/>
      <c r="D495" s="48"/>
      <c r="E495" s="48"/>
      <c r="F495" s="48"/>
      <c r="G495" s="48"/>
      <c r="H495" s="48"/>
      <c r="I495" s="48"/>
      <c r="J495" s="48"/>
      <c r="K495" s="48"/>
      <c r="L495" s="48"/>
      <c r="M495" s="48"/>
      <c r="N495" s="48"/>
      <c r="O495" s="48"/>
      <c r="P495" s="48"/>
      <c r="Q495" s="48"/>
    </row>
    <row r="496" spans="2:17" s="46" customFormat="1" ht="15" customHeight="1">
      <c r="B496" s="47"/>
      <c r="C496" s="48"/>
      <c r="D496" s="48"/>
      <c r="E496" s="48"/>
      <c r="F496" s="48"/>
      <c r="G496" s="48"/>
      <c r="H496" s="48"/>
      <c r="I496" s="48"/>
      <c r="J496" s="48"/>
      <c r="K496" s="48"/>
      <c r="L496" s="48"/>
      <c r="M496" s="48"/>
      <c r="N496" s="48"/>
      <c r="O496" s="48"/>
      <c r="P496" s="48"/>
      <c r="Q496" s="48"/>
    </row>
    <row r="497" spans="2:17" s="46" customFormat="1" ht="15" customHeight="1">
      <c r="B497" s="47"/>
      <c r="C497" s="48"/>
      <c r="D497" s="48"/>
      <c r="E497" s="48"/>
      <c r="F497" s="48"/>
      <c r="G497" s="48"/>
      <c r="H497" s="48"/>
      <c r="I497" s="48"/>
      <c r="J497" s="48"/>
      <c r="K497" s="48"/>
      <c r="L497" s="48"/>
      <c r="M497" s="48"/>
      <c r="N497" s="48"/>
      <c r="O497" s="48"/>
      <c r="P497" s="48"/>
      <c r="Q497" s="48"/>
    </row>
    <row r="498" spans="2:17" s="46" customFormat="1" ht="15" customHeight="1">
      <c r="B498" s="47"/>
      <c r="C498" s="48"/>
      <c r="D498" s="48"/>
      <c r="E498" s="48"/>
      <c r="F498" s="48"/>
      <c r="G498" s="48"/>
      <c r="H498" s="48"/>
      <c r="I498" s="48"/>
      <c r="J498" s="48"/>
      <c r="K498" s="48"/>
      <c r="L498" s="48"/>
      <c r="M498" s="48"/>
      <c r="N498" s="48"/>
      <c r="O498" s="48"/>
      <c r="P498" s="48"/>
      <c r="Q498" s="48"/>
    </row>
    <row r="499" spans="2:17" s="46" customFormat="1" ht="15" customHeight="1">
      <c r="B499" s="47"/>
      <c r="C499" s="48"/>
      <c r="D499" s="48"/>
      <c r="E499" s="48"/>
      <c r="F499" s="48"/>
      <c r="G499" s="48"/>
      <c r="H499" s="48"/>
      <c r="I499" s="48"/>
      <c r="J499" s="48"/>
      <c r="K499" s="48"/>
      <c r="L499" s="48"/>
      <c r="M499" s="48"/>
      <c r="N499" s="48"/>
      <c r="O499" s="48"/>
      <c r="P499" s="48"/>
      <c r="Q499" s="48"/>
    </row>
    <row r="500" spans="2:17" s="46" customFormat="1" ht="15" customHeight="1">
      <c r="B500" s="47"/>
      <c r="C500" s="48"/>
      <c r="D500" s="48"/>
      <c r="E500" s="48"/>
      <c r="F500" s="48"/>
      <c r="G500" s="48"/>
      <c r="H500" s="48"/>
      <c r="I500" s="48"/>
      <c r="J500" s="48"/>
      <c r="K500" s="48"/>
      <c r="L500" s="48"/>
      <c r="M500" s="48"/>
      <c r="N500" s="48"/>
      <c r="O500" s="48"/>
      <c r="P500" s="48"/>
      <c r="Q500" s="48"/>
    </row>
    <row r="501" spans="2:17" s="46" customFormat="1" ht="15" customHeight="1">
      <c r="B501" s="47"/>
      <c r="C501" s="48"/>
      <c r="D501" s="48"/>
      <c r="E501" s="48"/>
      <c r="F501" s="48"/>
      <c r="G501" s="48"/>
      <c r="H501" s="48"/>
      <c r="I501" s="48"/>
      <c r="J501" s="48"/>
      <c r="K501" s="48"/>
      <c r="L501" s="48"/>
      <c r="M501" s="48"/>
      <c r="N501" s="48"/>
      <c r="O501" s="48"/>
      <c r="P501" s="48"/>
      <c r="Q501" s="48"/>
    </row>
    <row r="502" spans="2:17" s="46" customFormat="1" ht="15" customHeight="1">
      <c r="B502" s="47"/>
      <c r="C502" s="48"/>
      <c r="D502" s="48"/>
      <c r="E502" s="48"/>
      <c r="F502" s="48"/>
      <c r="G502" s="48"/>
      <c r="H502" s="48"/>
      <c r="I502" s="48"/>
      <c r="J502" s="48"/>
      <c r="K502" s="48"/>
      <c r="L502" s="48"/>
      <c r="M502" s="48"/>
      <c r="N502" s="48"/>
      <c r="O502" s="48"/>
      <c r="P502" s="48"/>
      <c r="Q502" s="48"/>
    </row>
    <row r="503" spans="2:17" s="46" customFormat="1" ht="15" customHeight="1">
      <c r="B503" s="47"/>
      <c r="C503" s="48"/>
      <c r="D503" s="48"/>
      <c r="E503" s="48"/>
      <c r="F503" s="48"/>
      <c r="G503" s="48"/>
      <c r="H503" s="48"/>
      <c r="I503" s="48"/>
      <c r="J503" s="48"/>
      <c r="K503" s="48"/>
      <c r="L503" s="48"/>
      <c r="M503" s="48"/>
      <c r="N503" s="48"/>
      <c r="O503" s="48"/>
      <c r="P503" s="48"/>
      <c r="Q503" s="48"/>
    </row>
    <row r="504" spans="2:17" s="46" customFormat="1" ht="15" customHeight="1">
      <c r="B504" s="47"/>
      <c r="C504" s="48"/>
      <c r="D504" s="48"/>
      <c r="E504" s="48"/>
      <c r="F504" s="48"/>
      <c r="G504" s="48"/>
      <c r="H504" s="48"/>
      <c r="I504" s="48"/>
      <c r="J504" s="48"/>
      <c r="K504" s="48"/>
      <c r="L504" s="48"/>
      <c r="M504" s="48"/>
      <c r="N504" s="48"/>
      <c r="O504" s="48"/>
      <c r="P504" s="48"/>
      <c r="Q504" s="48"/>
    </row>
    <row r="505" spans="2:17" s="46" customFormat="1" ht="15" customHeight="1">
      <c r="B505" s="47"/>
      <c r="C505" s="48"/>
      <c r="D505" s="48"/>
      <c r="E505" s="48"/>
      <c r="F505" s="48"/>
      <c r="G505" s="48"/>
      <c r="H505" s="48"/>
      <c r="I505" s="48"/>
      <c r="J505" s="48"/>
      <c r="K505" s="48"/>
      <c r="L505" s="48"/>
      <c r="M505" s="48"/>
      <c r="N505" s="48"/>
      <c r="O505" s="48"/>
      <c r="P505" s="48"/>
      <c r="Q505" s="48"/>
    </row>
    <row r="506" spans="2:17" s="46" customFormat="1" ht="15" customHeight="1">
      <c r="B506" s="47"/>
      <c r="C506" s="48"/>
      <c r="D506" s="48"/>
      <c r="E506" s="48"/>
      <c r="F506" s="48"/>
      <c r="G506" s="48"/>
      <c r="H506" s="48"/>
      <c r="I506" s="48"/>
      <c r="J506" s="48"/>
      <c r="K506" s="48"/>
      <c r="L506" s="48"/>
      <c r="M506" s="48"/>
      <c r="N506" s="48"/>
      <c r="O506" s="48"/>
      <c r="P506" s="48"/>
      <c r="Q506" s="48"/>
    </row>
    <row r="507" spans="2:17" s="46" customFormat="1" ht="15" customHeight="1">
      <c r="B507" s="47"/>
      <c r="C507" s="48"/>
      <c r="D507" s="48"/>
      <c r="E507" s="48"/>
      <c r="F507" s="48"/>
      <c r="G507" s="48"/>
      <c r="H507" s="48"/>
      <c r="I507" s="48"/>
      <c r="J507" s="48"/>
      <c r="K507" s="48"/>
      <c r="L507" s="48"/>
      <c r="M507" s="48"/>
      <c r="N507" s="48"/>
      <c r="O507" s="48"/>
      <c r="P507" s="48"/>
      <c r="Q507" s="48"/>
    </row>
    <row r="508" spans="2:17" s="46" customFormat="1" ht="15" customHeight="1">
      <c r="B508" s="47"/>
      <c r="C508" s="48"/>
      <c r="D508" s="48"/>
      <c r="E508" s="48"/>
      <c r="F508" s="48"/>
      <c r="G508" s="48"/>
      <c r="H508" s="48"/>
      <c r="I508" s="48"/>
      <c r="J508" s="48"/>
      <c r="K508" s="48"/>
      <c r="L508" s="48"/>
      <c r="M508" s="48"/>
      <c r="N508" s="48"/>
      <c r="O508" s="48"/>
      <c r="P508" s="48"/>
      <c r="Q508" s="48"/>
    </row>
    <row r="509" spans="2:17" s="46" customFormat="1" ht="15" customHeight="1">
      <c r="B509" s="47"/>
      <c r="C509" s="48"/>
      <c r="D509" s="48"/>
      <c r="E509" s="48"/>
      <c r="F509" s="48"/>
      <c r="G509" s="48"/>
      <c r="H509" s="48"/>
      <c r="I509" s="48"/>
      <c r="J509" s="48"/>
      <c r="K509" s="48"/>
      <c r="L509" s="48"/>
      <c r="M509" s="48"/>
      <c r="N509" s="48"/>
      <c r="O509" s="48"/>
      <c r="P509" s="48"/>
      <c r="Q509" s="48"/>
    </row>
    <row r="510" spans="2:17" s="46" customFormat="1" ht="15" customHeight="1">
      <c r="B510" s="47"/>
      <c r="C510" s="48"/>
      <c r="D510" s="48"/>
      <c r="E510" s="48"/>
      <c r="F510" s="48"/>
      <c r="G510" s="48"/>
      <c r="H510" s="48"/>
      <c r="I510" s="48"/>
      <c r="J510" s="48"/>
      <c r="K510" s="48"/>
      <c r="L510" s="48"/>
      <c r="M510" s="48"/>
      <c r="N510" s="48"/>
      <c r="O510" s="48"/>
      <c r="P510" s="48"/>
      <c r="Q510" s="48"/>
    </row>
    <row r="511" spans="2:17" s="46" customFormat="1" ht="15" customHeight="1">
      <c r="B511" s="47"/>
      <c r="C511" s="48"/>
      <c r="D511" s="48"/>
      <c r="E511" s="48"/>
      <c r="F511" s="48"/>
      <c r="G511" s="48"/>
      <c r="H511" s="48"/>
      <c r="I511" s="48"/>
      <c r="J511" s="48"/>
      <c r="K511" s="48"/>
      <c r="L511" s="48"/>
      <c r="M511" s="48"/>
      <c r="N511" s="48"/>
      <c r="O511" s="48"/>
      <c r="P511" s="48"/>
      <c r="Q511" s="48"/>
    </row>
  </sheetData>
  <mergeCells count="9">
    <mergeCell ref="C5:M5"/>
    <mergeCell ref="N5:Q5"/>
    <mergeCell ref="B6:C6"/>
    <mergeCell ref="N6:Q6"/>
    <mergeCell ref="B1:Q1"/>
    <mergeCell ref="B3:C3"/>
    <mergeCell ref="N3:Q3"/>
    <mergeCell ref="C4:M4"/>
    <mergeCell ref="N4:Q4"/>
  </mergeCells>
  <pageMargins left="0.511811023622047" right="0.511811023622047" top="0.55118110236220497" bottom="0.55118110236220497" header="0.31496062992126" footer="0.31496062992126"/>
  <pageSetup paperSize="9" scale="7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tint="-0.249977111117893"/>
  </sheetPr>
  <dimension ref="B1:K23"/>
  <sheetViews>
    <sheetView showGridLines="0" zoomScale="80" zoomScaleNormal="80" workbookViewId="0">
      <selection activeCell="G27" sqref="G27"/>
    </sheetView>
  </sheetViews>
  <sheetFormatPr baseColWidth="10" defaultColWidth="11" defaultRowHeight="13.2"/>
  <cols>
    <col min="1" max="1" width="3" customWidth="1"/>
    <col min="2" max="2" width="56.33203125" customWidth="1"/>
    <col min="3" max="3" width="12.109375" customWidth="1"/>
    <col min="4" max="4" width="15.44140625" customWidth="1"/>
    <col min="5" max="5" width="15.6640625" customWidth="1"/>
    <col min="6" max="6" width="10.6640625" customWidth="1"/>
    <col min="7" max="7" width="13" customWidth="1"/>
    <col min="8" max="8" width="12.88671875" style="59" customWidth="1"/>
    <col min="9" max="9" width="12" style="59" customWidth="1"/>
    <col min="10" max="10" width="24" customWidth="1"/>
    <col min="11" max="11" width="74.5546875" customWidth="1"/>
    <col min="12" max="12" width="3.6640625" customWidth="1"/>
  </cols>
  <sheetData>
    <row r="1" spans="2:11" ht="12" customHeight="1">
      <c r="B1" s="875" t="s">
        <v>714</v>
      </c>
      <c r="C1" s="876"/>
      <c r="D1" s="876"/>
      <c r="E1" s="876"/>
      <c r="F1" s="876"/>
      <c r="G1" s="876"/>
      <c r="H1" s="876"/>
      <c r="I1" s="876"/>
      <c r="J1" s="877"/>
      <c r="K1" s="486"/>
    </row>
    <row r="2" spans="2:11" ht="43.2">
      <c r="B2" s="487" t="s">
        <v>715</v>
      </c>
      <c r="C2" s="488" t="s">
        <v>716</v>
      </c>
      <c r="D2" s="488" t="s">
        <v>717</v>
      </c>
      <c r="E2" s="488" t="s">
        <v>718</v>
      </c>
      <c r="F2" s="488" t="s">
        <v>719</v>
      </c>
      <c r="G2" s="488" t="s">
        <v>720</v>
      </c>
      <c r="H2" s="488" t="s">
        <v>721</v>
      </c>
      <c r="I2" s="488" t="s">
        <v>722</v>
      </c>
      <c r="J2" s="488" t="s">
        <v>723</v>
      </c>
      <c r="K2" s="489" t="s">
        <v>724</v>
      </c>
    </row>
    <row r="3" spans="2:11" ht="12" customHeight="1">
      <c r="B3" s="275" t="s">
        <v>725</v>
      </c>
      <c r="C3" s="265"/>
      <c r="D3" s="274" t="s">
        <v>726</v>
      </c>
      <c r="E3" s="265"/>
      <c r="F3" s="265"/>
      <c r="G3" s="265"/>
      <c r="H3" s="265"/>
      <c r="I3" s="265"/>
      <c r="J3" s="265"/>
      <c r="K3" s="277"/>
    </row>
    <row r="4" spans="2:11" ht="15" customHeight="1">
      <c r="B4" s="56" t="s">
        <v>727</v>
      </c>
      <c r="C4" s="7" t="s">
        <v>728</v>
      </c>
      <c r="D4" s="60">
        <f>28.3858</f>
        <v>28.3858</v>
      </c>
      <c r="E4" s="58">
        <v>5</v>
      </c>
      <c r="F4" s="61" t="s">
        <v>729</v>
      </c>
      <c r="G4" s="62">
        <v>2</v>
      </c>
      <c r="H4" s="63">
        <f>G4*E4*D4</f>
        <v>283.858</v>
      </c>
      <c r="I4" s="7">
        <v>0.65</v>
      </c>
      <c r="J4" s="7">
        <f>H4*I4</f>
        <v>184.5077</v>
      </c>
      <c r="K4" s="34" t="s">
        <v>730</v>
      </c>
    </row>
    <row r="5" spans="2:11" ht="15" customHeight="1">
      <c r="B5" s="56" t="s">
        <v>731</v>
      </c>
      <c r="C5" s="7" t="s">
        <v>732</v>
      </c>
      <c r="D5" s="60">
        <f>D4+2.9273+1.8127</f>
        <v>33.125799999999998</v>
      </c>
      <c r="E5" s="58">
        <v>375</v>
      </c>
      <c r="F5" s="61" t="s">
        <v>733</v>
      </c>
      <c r="G5" s="62">
        <v>1</v>
      </c>
      <c r="H5" s="63">
        <f t="shared" ref="H5:H20" si="0">G5*E5*D5</f>
        <v>12422.174999999999</v>
      </c>
      <c r="I5" s="7">
        <v>0.2</v>
      </c>
      <c r="J5" s="7">
        <f t="shared" ref="J5:J20" si="1">H5*I5</f>
        <v>2484.4349999999999</v>
      </c>
      <c r="K5" s="34" t="s">
        <v>734</v>
      </c>
    </row>
    <row r="6" spans="2:11" ht="15" customHeight="1">
      <c r="B6" s="56" t="s">
        <v>735</v>
      </c>
      <c r="C6" s="7" t="s">
        <v>736</v>
      </c>
      <c r="D6" s="60">
        <f>D4*0.25</f>
        <v>7.0964499999999999</v>
      </c>
      <c r="E6" s="58">
        <v>20</v>
      </c>
      <c r="F6" s="61" t="s">
        <v>737</v>
      </c>
      <c r="G6" s="62">
        <v>1</v>
      </c>
      <c r="H6" s="63">
        <f t="shared" si="0"/>
        <v>141.929</v>
      </c>
      <c r="I6" s="7">
        <v>20</v>
      </c>
      <c r="J6" s="7">
        <f t="shared" si="1"/>
        <v>2838.58</v>
      </c>
      <c r="K6" s="34" t="s">
        <v>738</v>
      </c>
    </row>
    <row r="7" spans="2:11" ht="15" customHeight="1">
      <c r="B7" s="56" t="s">
        <v>739</v>
      </c>
      <c r="C7" s="7" t="s">
        <v>740</v>
      </c>
      <c r="D7" s="60">
        <f>1.0647</f>
        <v>1.0647</v>
      </c>
      <c r="E7" s="58">
        <v>100</v>
      </c>
      <c r="F7" s="61" t="s">
        <v>737</v>
      </c>
      <c r="G7" s="62">
        <v>2</v>
      </c>
      <c r="H7" s="63">
        <f t="shared" si="0"/>
        <v>212.94</v>
      </c>
      <c r="I7" s="7">
        <v>24</v>
      </c>
      <c r="J7" s="7">
        <f t="shared" si="1"/>
        <v>5110.5599999999995</v>
      </c>
      <c r="K7" s="34" t="s">
        <v>741</v>
      </c>
    </row>
    <row r="8" spans="2:11" ht="15" customHeight="1">
      <c r="B8" s="56" t="s">
        <v>742</v>
      </c>
      <c r="C8" s="7" t="s">
        <v>740</v>
      </c>
      <c r="D8" s="60"/>
      <c r="E8" s="58">
        <v>5</v>
      </c>
      <c r="F8" s="61" t="s">
        <v>737</v>
      </c>
      <c r="G8" s="62">
        <v>2</v>
      </c>
      <c r="H8" s="63">
        <f t="shared" si="0"/>
        <v>0</v>
      </c>
      <c r="I8" s="7">
        <v>50</v>
      </c>
      <c r="J8" s="7">
        <f t="shared" si="1"/>
        <v>0</v>
      </c>
      <c r="K8" s="34" t="s">
        <v>743</v>
      </c>
    </row>
    <row r="9" spans="2:11" ht="15" customHeight="1">
      <c r="B9" s="275" t="s">
        <v>744</v>
      </c>
      <c r="C9" s="265"/>
      <c r="D9" s="274" t="s">
        <v>745</v>
      </c>
      <c r="E9" s="265"/>
      <c r="F9" s="265"/>
      <c r="G9" s="265"/>
      <c r="H9" s="280"/>
      <c r="I9" s="265"/>
      <c r="J9" s="265"/>
      <c r="K9" s="277"/>
    </row>
    <row r="10" spans="2:11" ht="15" customHeight="1">
      <c r="B10" s="56" t="s">
        <v>746</v>
      </c>
      <c r="C10" s="7" t="s">
        <v>747</v>
      </c>
      <c r="D10" s="60">
        <f>D4*0.25</f>
        <v>7.0964499999999999</v>
      </c>
      <c r="E10" s="58">
        <v>10</v>
      </c>
      <c r="F10" s="61" t="s">
        <v>729</v>
      </c>
      <c r="G10" s="62">
        <v>1</v>
      </c>
      <c r="H10" s="63">
        <f t="shared" si="0"/>
        <v>70.964500000000001</v>
      </c>
      <c r="I10" s="7">
        <v>15.7</v>
      </c>
      <c r="J10" s="7">
        <f t="shared" si="1"/>
        <v>1114.14265</v>
      </c>
      <c r="K10" s="34" t="s">
        <v>748</v>
      </c>
    </row>
    <row r="11" spans="2:11" ht="15" customHeight="1">
      <c r="B11" s="56" t="s">
        <v>749</v>
      </c>
      <c r="C11" s="7" t="s">
        <v>747</v>
      </c>
      <c r="D11" s="60">
        <f>1160</f>
        <v>1160</v>
      </c>
      <c r="E11" s="58">
        <f>14*2</f>
        <v>28</v>
      </c>
      <c r="F11" s="61" t="s">
        <v>750</v>
      </c>
      <c r="G11" s="62">
        <v>1</v>
      </c>
      <c r="H11" s="63">
        <f t="shared" si="0"/>
        <v>32480</v>
      </c>
      <c r="I11" s="7">
        <v>0.5</v>
      </c>
      <c r="J11" s="7">
        <f t="shared" si="1"/>
        <v>16240</v>
      </c>
      <c r="K11" s="34" t="s">
        <v>751</v>
      </c>
    </row>
    <row r="12" spans="2:11" ht="15" customHeight="1">
      <c r="B12" s="275" t="s">
        <v>752</v>
      </c>
      <c r="C12" s="265"/>
      <c r="D12" s="265"/>
      <c r="E12" s="265"/>
      <c r="F12" s="265"/>
      <c r="G12" s="265"/>
      <c r="H12" s="280"/>
      <c r="I12" s="265"/>
      <c r="J12" s="265"/>
      <c r="K12" s="277"/>
    </row>
    <row r="13" spans="2:11" ht="15" customHeight="1">
      <c r="B13" s="56" t="s">
        <v>753</v>
      </c>
      <c r="C13" s="7" t="s">
        <v>747</v>
      </c>
      <c r="D13" s="60">
        <v>95</v>
      </c>
      <c r="E13" s="58">
        <v>175</v>
      </c>
      <c r="F13" s="61" t="s">
        <v>754</v>
      </c>
      <c r="G13" s="62">
        <v>1</v>
      </c>
      <c r="H13" s="63">
        <f t="shared" si="0"/>
        <v>16625</v>
      </c>
      <c r="I13" s="7"/>
      <c r="J13" s="7"/>
      <c r="K13" s="34" t="s">
        <v>755</v>
      </c>
    </row>
    <row r="14" spans="2:11" ht="15" customHeight="1">
      <c r="B14" s="275" t="s">
        <v>648</v>
      </c>
      <c r="C14" s="265"/>
      <c r="D14" s="265"/>
      <c r="E14" s="265"/>
      <c r="F14" s="265"/>
      <c r="G14" s="265"/>
      <c r="H14" s="280"/>
      <c r="I14" s="265"/>
      <c r="J14" s="265"/>
      <c r="K14" s="277"/>
    </row>
    <row r="15" spans="2:11" ht="15" customHeight="1">
      <c r="B15" s="445" t="s">
        <v>1024</v>
      </c>
      <c r="C15" s="7" t="s">
        <v>747</v>
      </c>
      <c r="D15" s="60">
        <v>2123</v>
      </c>
      <c r="E15" s="58">
        <v>1</v>
      </c>
      <c r="F15" s="61" t="s">
        <v>756</v>
      </c>
      <c r="G15" s="62">
        <v>0.5</v>
      </c>
      <c r="H15" s="63">
        <f>G15*E15*D15</f>
        <v>1061.5</v>
      </c>
      <c r="I15" s="7">
        <v>15</v>
      </c>
      <c r="J15" s="7">
        <f>H15*I15</f>
        <v>15922.5</v>
      </c>
      <c r="K15" s="34" t="s">
        <v>757</v>
      </c>
    </row>
    <row r="16" spans="2:11" ht="15" customHeight="1">
      <c r="B16" s="445" t="s">
        <v>1025</v>
      </c>
      <c r="C16" s="7" t="s">
        <v>747</v>
      </c>
      <c r="D16" s="60">
        <v>1330</v>
      </c>
      <c r="E16" s="58">
        <v>1</v>
      </c>
      <c r="F16" s="61" t="s">
        <v>756</v>
      </c>
      <c r="G16" s="62">
        <v>0.5</v>
      </c>
      <c r="H16" s="63">
        <f>G16*E16*D16</f>
        <v>665</v>
      </c>
      <c r="I16" s="7">
        <v>10</v>
      </c>
      <c r="J16" s="7">
        <f t="shared" si="1"/>
        <v>6650</v>
      </c>
      <c r="K16" s="34" t="s">
        <v>757</v>
      </c>
    </row>
    <row r="17" spans="2:11" ht="15" customHeight="1">
      <c r="B17" s="56" t="s">
        <v>758</v>
      </c>
      <c r="C17" s="7" t="s">
        <v>747</v>
      </c>
      <c r="D17" s="60">
        <v>42</v>
      </c>
      <c r="E17" s="58">
        <v>1</v>
      </c>
      <c r="F17" s="61" t="s">
        <v>756</v>
      </c>
      <c r="G17" s="62">
        <v>1</v>
      </c>
      <c r="H17" s="63">
        <f t="shared" si="0"/>
        <v>42</v>
      </c>
      <c r="I17" s="7">
        <v>450</v>
      </c>
      <c r="J17" s="7">
        <f t="shared" si="1"/>
        <v>18900</v>
      </c>
      <c r="K17" s="34" t="s">
        <v>759</v>
      </c>
    </row>
    <row r="18" spans="2:11" ht="15" customHeight="1">
      <c r="B18" s="56" t="s">
        <v>760</v>
      </c>
      <c r="C18" s="7" t="s">
        <v>747</v>
      </c>
      <c r="D18" s="60">
        <v>42</v>
      </c>
      <c r="E18" s="58">
        <v>1</v>
      </c>
      <c r="F18" s="61" t="s">
        <v>756</v>
      </c>
      <c r="G18" s="62">
        <v>1</v>
      </c>
      <c r="H18" s="63">
        <f t="shared" si="0"/>
        <v>42</v>
      </c>
      <c r="I18" s="7">
        <v>200</v>
      </c>
      <c r="J18" s="7">
        <f t="shared" si="1"/>
        <v>8400</v>
      </c>
      <c r="K18" s="34" t="s">
        <v>761</v>
      </c>
    </row>
    <row r="19" spans="2:11" ht="15" customHeight="1">
      <c r="B19" s="56" t="s">
        <v>762</v>
      </c>
      <c r="C19" s="7" t="s">
        <v>747</v>
      </c>
      <c r="D19" s="60"/>
      <c r="E19" s="58">
        <v>1</v>
      </c>
      <c r="F19" s="61" t="s">
        <v>756</v>
      </c>
      <c r="G19" s="62">
        <v>1</v>
      </c>
      <c r="H19" s="63">
        <f t="shared" si="0"/>
        <v>0</v>
      </c>
      <c r="I19" s="7">
        <v>175</v>
      </c>
      <c r="J19" s="7">
        <f t="shared" si="1"/>
        <v>0</v>
      </c>
      <c r="K19" s="34"/>
    </row>
    <row r="20" spans="2:11" ht="15" customHeight="1">
      <c r="B20" s="56" t="s">
        <v>763</v>
      </c>
      <c r="C20" s="7" t="s">
        <v>747</v>
      </c>
      <c r="D20" s="60">
        <v>130</v>
      </c>
      <c r="E20" s="58">
        <v>1</v>
      </c>
      <c r="F20" s="61" t="s">
        <v>756</v>
      </c>
      <c r="G20" s="62">
        <v>1</v>
      </c>
      <c r="H20" s="63">
        <f t="shared" si="0"/>
        <v>130</v>
      </c>
      <c r="I20" s="7">
        <v>250</v>
      </c>
      <c r="J20" s="7">
        <f t="shared" si="1"/>
        <v>32500</v>
      </c>
      <c r="K20" s="34" t="s">
        <v>764</v>
      </c>
    </row>
    <row r="21" spans="2:11" ht="14.4">
      <c r="B21" s="477"/>
      <c r="C21" s="478"/>
      <c r="D21" s="478"/>
      <c r="E21" s="479"/>
      <c r="F21" s="480" t="s">
        <v>47</v>
      </c>
      <c r="G21" s="480"/>
      <c r="H21" s="485"/>
      <c r="I21" s="485"/>
      <c r="J21" s="485">
        <f>SUM(J4:J20)</f>
        <v>110344.72534999999</v>
      </c>
      <c r="K21" s="483"/>
    </row>
    <row r="22" spans="2:11" ht="12" customHeight="1">
      <c r="F22" s="55"/>
      <c r="G22" s="64"/>
      <c r="H22" s="65"/>
      <c r="I22" s="65"/>
    </row>
    <row r="23" spans="2:11">
      <c r="J23" s="66"/>
    </row>
  </sheetData>
  <mergeCells count="1">
    <mergeCell ref="B1:J1"/>
  </mergeCells>
  <pageMargins left="0.7" right="0.7" top="0.75" bottom="0.75" header="0.3" footer="0.3"/>
  <pageSetup paperSize="8" scale="82" orientation="landscape" r:id="rId1"/>
  <colBreaks count="1" manualBreakCount="1">
    <brk id="11"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tint="-0.249977111117893"/>
  </sheetPr>
  <dimension ref="A1:G19"/>
  <sheetViews>
    <sheetView showGridLines="0" workbookViewId="0">
      <selection sqref="A1:E1"/>
    </sheetView>
  </sheetViews>
  <sheetFormatPr baseColWidth="10" defaultColWidth="11" defaultRowHeight="13.2"/>
  <cols>
    <col min="1" max="1" width="38.33203125" customWidth="1"/>
    <col min="2" max="2" width="11" customWidth="1"/>
    <col min="3" max="4" width="10.6640625" customWidth="1"/>
    <col min="5" max="5" width="23.33203125" customWidth="1"/>
    <col min="6" max="6" width="10" customWidth="1"/>
  </cols>
  <sheetData>
    <row r="1" spans="1:7" ht="15" customHeight="1">
      <c r="A1" s="867" t="s">
        <v>765</v>
      </c>
      <c r="B1" s="868"/>
      <c r="C1" s="868"/>
      <c r="D1" s="868"/>
      <c r="E1" s="869"/>
      <c r="F1" s="55"/>
      <c r="G1" s="55"/>
    </row>
    <row r="2" spans="1:7" ht="36.75" customHeight="1">
      <c r="A2" s="490" t="s">
        <v>294</v>
      </c>
      <c r="B2" s="488" t="s">
        <v>719</v>
      </c>
      <c r="C2" s="488" t="s">
        <v>766</v>
      </c>
      <c r="D2" s="488" t="s">
        <v>722</v>
      </c>
      <c r="E2" s="489" t="s">
        <v>553</v>
      </c>
      <c r="F2" s="55"/>
      <c r="G2" s="55"/>
    </row>
    <row r="3" spans="1:7" ht="15" customHeight="1">
      <c r="A3" s="275" t="s">
        <v>767</v>
      </c>
      <c r="B3" s="265"/>
      <c r="C3" s="281" t="s">
        <v>768</v>
      </c>
      <c r="D3" s="265"/>
      <c r="E3" s="277"/>
    </row>
    <row r="4" spans="1:7" ht="15" customHeight="1">
      <c r="A4" s="56" t="s">
        <v>769</v>
      </c>
      <c r="B4" s="57" t="s">
        <v>770</v>
      </c>
      <c r="C4" s="58">
        <v>0</v>
      </c>
      <c r="D4" s="7">
        <f>(40/10000)*3</f>
        <v>1.2E-2</v>
      </c>
      <c r="E4" s="34">
        <f>+C4*D4</f>
        <v>0</v>
      </c>
    </row>
    <row r="5" spans="1:7" ht="15" customHeight="1">
      <c r="A5" s="275" t="s">
        <v>771</v>
      </c>
      <c r="B5" s="265"/>
      <c r="C5" s="281" t="s">
        <v>772</v>
      </c>
      <c r="D5" s="265"/>
      <c r="E5" s="277"/>
    </row>
    <row r="6" spans="1:7" ht="15" customHeight="1">
      <c r="A6" s="56" t="s">
        <v>773</v>
      </c>
      <c r="B6" s="57" t="s">
        <v>770</v>
      </c>
      <c r="C6" s="58">
        <v>2000</v>
      </c>
      <c r="D6" s="7">
        <f>4*0.5</f>
        <v>2</v>
      </c>
      <c r="E6" s="34">
        <f>+C6*D6</f>
        <v>4000</v>
      </c>
    </row>
    <row r="7" spans="1:7" ht="15" customHeight="1">
      <c r="A7" s="56" t="s">
        <v>774</v>
      </c>
      <c r="B7" s="57" t="s">
        <v>770</v>
      </c>
      <c r="C7" s="58">
        <v>5000</v>
      </c>
      <c r="D7" s="7">
        <v>0.12</v>
      </c>
      <c r="E7" s="34">
        <f>+C7*D7</f>
        <v>600</v>
      </c>
    </row>
    <row r="8" spans="1:7" ht="15" customHeight="1">
      <c r="A8" s="275" t="s">
        <v>775</v>
      </c>
      <c r="B8" s="265"/>
      <c r="C8" s="281" t="s">
        <v>772</v>
      </c>
      <c r="D8" s="265"/>
      <c r="E8" s="277"/>
    </row>
    <row r="9" spans="1:7" ht="15" customHeight="1">
      <c r="A9" s="56" t="s">
        <v>776</v>
      </c>
      <c r="B9" s="57" t="s">
        <v>770</v>
      </c>
      <c r="C9" s="58">
        <v>0</v>
      </c>
      <c r="D9" s="7">
        <v>0.09</v>
      </c>
      <c r="E9" s="34">
        <f>+C9*D9</f>
        <v>0</v>
      </c>
    </row>
    <row r="10" spans="1:7" ht="15" customHeight="1">
      <c r="A10" s="275" t="s">
        <v>777</v>
      </c>
      <c r="B10" s="265"/>
      <c r="C10" s="281" t="s">
        <v>772</v>
      </c>
      <c r="D10" s="265"/>
      <c r="E10" s="277"/>
    </row>
    <row r="11" spans="1:7" ht="15" customHeight="1">
      <c r="A11" s="56" t="s">
        <v>778</v>
      </c>
      <c r="B11" s="57" t="s">
        <v>779</v>
      </c>
      <c r="C11" s="58">
        <v>1000</v>
      </c>
      <c r="D11" s="7">
        <v>5</v>
      </c>
      <c r="E11" s="34">
        <f>+C11*D11</f>
        <v>5000</v>
      </c>
    </row>
    <row r="12" spans="1:7" ht="15" customHeight="1">
      <c r="A12" s="56" t="s">
        <v>780</v>
      </c>
      <c r="B12" s="57" t="s">
        <v>779</v>
      </c>
      <c r="C12" s="58">
        <v>600</v>
      </c>
      <c r="D12" s="7">
        <v>18</v>
      </c>
      <c r="E12" s="34">
        <f>+C12*D12</f>
        <v>10800</v>
      </c>
    </row>
    <row r="13" spans="1:7" ht="15" customHeight="1">
      <c r="A13" s="275" t="s">
        <v>781</v>
      </c>
      <c r="B13" s="265"/>
      <c r="C13" s="281" t="s">
        <v>768</v>
      </c>
      <c r="D13" s="265"/>
      <c r="E13" s="277"/>
    </row>
    <row r="14" spans="1:7" ht="15" customHeight="1">
      <c r="A14" s="56" t="s">
        <v>782</v>
      </c>
      <c r="B14" s="57" t="s">
        <v>770</v>
      </c>
      <c r="C14" s="58">
        <v>0</v>
      </c>
      <c r="D14" s="7">
        <f>24.58/1000</f>
        <v>2.4579999999999998E-2</v>
      </c>
      <c r="E14" s="34">
        <f>+C14*D14</f>
        <v>0</v>
      </c>
    </row>
    <row r="15" spans="1:7" ht="15" customHeight="1">
      <c r="A15" s="56" t="s">
        <v>783</v>
      </c>
      <c r="B15" s="57" t="s">
        <v>770</v>
      </c>
      <c r="C15" s="58">
        <v>0</v>
      </c>
      <c r="D15" s="7">
        <f>19.63/100</f>
        <v>0.1963</v>
      </c>
      <c r="E15" s="34">
        <f>+C15*D15</f>
        <v>0</v>
      </c>
    </row>
    <row r="16" spans="1:7" ht="15" customHeight="1">
      <c r="A16" s="56" t="s">
        <v>784</v>
      </c>
      <c r="B16" s="57" t="s">
        <v>785</v>
      </c>
      <c r="C16" s="58">
        <v>0</v>
      </c>
      <c r="D16" s="7">
        <f>10.05/10</f>
        <v>1.0050000000000001</v>
      </c>
      <c r="E16" s="34">
        <f>+C16*D16</f>
        <v>0</v>
      </c>
    </row>
    <row r="17" spans="1:5" ht="15" customHeight="1">
      <c r="A17" s="491" t="s">
        <v>47</v>
      </c>
      <c r="B17" s="480"/>
      <c r="C17" s="485"/>
      <c r="D17" s="485"/>
      <c r="E17" s="483">
        <f>SUM(E4:E16)</f>
        <v>20400</v>
      </c>
    </row>
    <row r="18" spans="1:5" ht="15" customHeight="1"/>
    <row r="19" spans="1:5" ht="15" customHeight="1"/>
  </sheetData>
  <mergeCells count="1">
    <mergeCell ref="A1:E1"/>
  </mergeCells>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249977111117893"/>
    <pageSetUpPr fitToPage="1"/>
  </sheetPr>
  <dimension ref="A1:S517"/>
  <sheetViews>
    <sheetView showGridLines="0" workbookViewId="0">
      <selection activeCell="B1" sqref="B1:O1"/>
    </sheetView>
  </sheetViews>
  <sheetFormatPr baseColWidth="10" defaultColWidth="11.44140625" defaultRowHeight="14.4"/>
  <cols>
    <col min="1" max="1" width="3.109375" style="46" customWidth="1"/>
    <col min="2" max="2" width="4.88671875" style="47" customWidth="1"/>
    <col min="3" max="3" width="45.33203125" style="48" customWidth="1"/>
    <col min="4" max="6" width="5.6640625" style="48" customWidth="1"/>
    <col min="7" max="7" width="7.33203125" style="48" customWidth="1"/>
    <col min="8" max="15" width="5.6640625" style="48" customWidth="1"/>
    <col min="16" max="18" width="3.33203125" style="48" customWidth="1"/>
    <col min="19" max="16384" width="11.44140625" style="48"/>
  </cols>
  <sheetData>
    <row r="1" spans="2:19" ht="15" customHeight="1">
      <c r="B1" s="563" t="s">
        <v>786</v>
      </c>
      <c r="C1" s="563"/>
      <c r="D1" s="563"/>
      <c r="E1" s="563"/>
      <c r="F1" s="563"/>
      <c r="G1" s="563"/>
      <c r="H1" s="563"/>
      <c r="I1" s="563"/>
      <c r="J1" s="563"/>
      <c r="K1" s="563"/>
      <c r="L1" s="563"/>
      <c r="M1" s="563"/>
      <c r="N1" s="563"/>
      <c r="O1" s="563"/>
    </row>
    <row r="2" spans="2:19" ht="3.75" customHeight="1">
      <c r="B2" s="49"/>
      <c r="C2" s="50"/>
      <c r="D2" s="50"/>
      <c r="E2" s="50"/>
      <c r="F2" s="50"/>
      <c r="G2" s="50"/>
      <c r="H2" s="50"/>
      <c r="I2" s="50"/>
      <c r="J2" s="50"/>
      <c r="K2" s="50"/>
      <c r="L2" s="50"/>
      <c r="M2" s="50"/>
      <c r="N2" s="50"/>
      <c r="O2" s="50"/>
    </row>
    <row r="3" spans="2:19" ht="22.5" customHeight="1">
      <c r="B3" s="878" t="s">
        <v>95</v>
      </c>
      <c r="C3" s="878"/>
      <c r="D3" s="878"/>
      <c r="E3" s="878"/>
      <c r="F3" s="878"/>
      <c r="G3" s="878"/>
      <c r="H3" s="878"/>
      <c r="I3" s="878"/>
      <c r="J3" s="878"/>
      <c r="K3" s="878"/>
      <c r="L3" s="703" t="s">
        <v>96</v>
      </c>
      <c r="M3" s="703"/>
      <c r="N3" s="703"/>
      <c r="O3" s="704"/>
    </row>
    <row r="4" spans="2:19" ht="15" customHeight="1">
      <c r="B4" s="51" t="s">
        <v>787</v>
      </c>
      <c r="C4" s="734" t="s">
        <v>788</v>
      </c>
      <c r="D4" s="734"/>
      <c r="E4" s="734"/>
      <c r="F4" s="734"/>
      <c r="G4" s="734"/>
      <c r="H4" s="734"/>
      <c r="I4" s="734"/>
      <c r="J4" s="734"/>
      <c r="K4" s="734"/>
      <c r="L4" s="746">
        <f>'F.1. Eq_Tecno_Soft'!K22</f>
        <v>64328.697363834755</v>
      </c>
      <c r="M4" s="746"/>
      <c r="N4" s="746"/>
      <c r="O4" s="746"/>
    </row>
    <row r="5" spans="2:19" ht="15" customHeight="1">
      <c r="B5" s="51" t="s">
        <v>789</v>
      </c>
      <c r="C5" s="734" t="s">
        <v>790</v>
      </c>
      <c r="D5" s="734"/>
      <c r="E5" s="734"/>
      <c r="F5" s="734"/>
      <c r="G5" s="734"/>
      <c r="H5" s="734"/>
      <c r="I5" s="734"/>
      <c r="J5" s="734"/>
      <c r="K5" s="734"/>
      <c r="L5" s="746">
        <f>'F.2 Inventario'!F21</f>
        <v>38367.723600000005</v>
      </c>
      <c r="M5" s="746"/>
      <c r="N5" s="746"/>
      <c r="O5" s="746"/>
    </row>
    <row r="6" spans="2:19" ht="15" customHeight="1">
      <c r="B6" s="51" t="s">
        <v>791</v>
      </c>
      <c r="C6" s="734" t="s">
        <v>792</v>
      </c>
      <c r="D6" s="734"/>
      <c r="E6" s="734"/>
      <c r="F6" s="734"/>
      <c r="G6" s="734"/>
      <c r="H6" s="734"/>
      <c r="I6" s="734"/>
      <c r="J6" s="734"/>
      <c r="K6" s="734"/>
      <c r="L6" s="746">
        <f>'F.3 ServiciosProfesionales'!F127</f>
        <v>60500</v>
      </c>
      <c r="M6" s="746"/>
      <c r="N6" s="746"/>
      <c r="O6" s="746"/>
    </row>
    <row r="7" spans="2:19" ht="15" customHeight="1">
      <c r="B7" s="51" t="s">
        <v>793</v>
      </c>
      <c r="C7" s="734" t="s">
        <v>794</v>
      </c>
      <c r="D7" s="734"/>
      <c r="E7" s="734"/>
      <c r="F7" s="734"/>
      <c r="G7" s="734"/>
      <c r="H7" s="734"/>
      <c r="I7" s="734"/>
      <c r="J7" s="734"/>
      <c r="K7" s="734"/>
      <c r="L7" s="746">
        <f>'F.4 Otros Costes'!H16</f>
        <v>49162.5</v>
      </c>
      <c r="M7" s="746"/>
      <c r="N7" s="746"/>
      <c r="O7" s="746"/>
    </row>
    <row r="8" spans="2:19" s="46" customFormat="1" ht="15" customHeight="1">
      <c r="B8" s="763" t="s">
        <v>121</v>
      </c>
      <c r="C8" s="763"/>
      <c r="D8" s="462"/>
      <c r="E8" s="463"/>
      <c r="F8" s="463"/>
      <c r="G8" s="463"/>
      <c r="H8" s="464"/>
      <c r="I8" s="464"/>
      <c r="J8" s="464"/>
      <c r="K8" s="464"/>
      <c r="L8" s="764">
        <f>SUM(L4:O7)</f>
        <v>212358.92096383477</v>
      </c>
      <c r="M8" s="764"/>
      <c r="N8" s="764"/>
      <c r="O8" s="764"/>
    </row>
    <row r="9" spans="2:19" s="46" customFormat="1" ht="15" customHeight="1">
      <c r="B9" s="47"/>
      <c r="C9" s="48"/>
      <c r="D9" s="48"/>
      <c r="E9" s="48"/>
      <c r="F9" s="48"/>
      <c r="G9" s="48"/>
      <c r="H9" s="48"/>
      <c r="I9" s="48"/>
      <c r="J9" s="48"/>
      <c r="K9" s="48"/>
      <c r="L9" s="48"/>
      <c r="M9" s="48"/>
      <c r="N9" s="48"/>
      <c r="O9" s="48"/>
    </row>
    <row r="10" spans="2:19" s="46" customFormat="1" ht="15" customHeight="1">
      <c r="B10" s="47"/>
      <c r="C10" s="48"/>
      <c r="D10" s="48"/>
      <c r="E10" s="48"/>
      <c r="F10" s="48"/>
      <c r="G10" s="48"/>
      <c r="H10" s="48"/>
      <c r="I10" s="48"/>
      <c r="J10" s="48"/>
      <c r="K10" s="48"/>
      <c r="L10" s="48"/>
      <c r="M10" s="48"/>
      <c r="N10" s="48"/>
      <c r="O10" s="48"/>
    </row>
    <row r="11" spans="2:19" s="46" customFormat="1" ht="15" customHeight="1">
      <c r="B11" s="47"/>
      <c r="C11" s="48"/>
      <c r="D11" s="48"/>
      <c r="E11" s="48"/>
      <c r="F11" s="48"/>
      <c r="G11" s="48"/>
      <c r="H11" s="48"/>
      <c r="I11" s="48"/>
      <c r="J11" s="48"/>
      <c r="K11" s="48"/>
      <c r="L11" s="48"/>
      <c r="M11" s="48"/>
      <c r="N11" s="48"/>
      <c r="O11" s="48"/>
    </row>
    <row r="12" spans="2:19" s="46" customFormat="1" ht="27.45" customHeight="1">
      <c r="B12" s="790" t="s">
        <v>954</v>
      </c>
      <c r="C12" s="791"/>
      <c r="D12" s="888" t="s">
        <v>1010</v>
      </c>
      <c r="E12" s="790"/>
      <c r="F12" s="790"/>
      <c r="G12" s="791"/>
      <c r="H12" s="792" t="s">
        <v>994</v>
      </c>
      <c r="I12" s="793"/>
      <c r="J12" s="793"/>
      <c r="K12" s="794"/>
      <c r="L12" s="792" t="s">
        <v>995</v>
      </c>
      <c r="M12" s="793"/>
      <c r="N12" s="793"/>
      <c r="O12" s="794"/>
      <c r="P12" s="792" t="s">
        <v>47</v>
      </c>
      <c r="Q12" s="793"/>
      <c r="R12" s="793"/>
      <c r="S12" s="794"/>
    </row>
    <row r="13" spans="2:19" s="46" customFormat="1" ht="15" customHeight="1">
      <c r="B13" s="420" t="str">
        <f>B4</f>
        <v>F.1</v>
      </c>
      <c r="C13" s="421" t="str">
        <f>C4</f>
        <v>COSTES DE EQUIPOS TECNÓLOGICOS Y LICENCIAS SOFTWARE</v>
      </c>
      <c r="D13" s="798">
        <f>'F.1. Eq_Tecno_Soft'!K22-H13-L13</f>
        <v>57426.377363834756</v>
      </c>
      <c r="E13" s="799"/>
      <c r="F13" s="799"/>
      <c r="G13" s="800"/>
      <c r="H13" s="798">
        <f>'F.1. Eq_Tecno_Soft'!I22</f>
        <v>5676.25</v>
      </c>
      <c r="I13" s="799"/>
      <c r="J13" s="799"/>
      <c r="K13" s="800"/>
      <c r="L13" s="798">
        <f>'F.1. Eq_Tecno_Soft'!J22</f>
        <v>1226.0700000000002</v>
      </c>
      <c r="M13" s="799"/>
      <c r="N13" s="799"/>
      <c r="O13" s="800"/>
      <c r="P13" s="885">
        <f>D13+H13+L13</f>
        <v>64328.697363834755</v>
      </c>
      <c r="Q13" s="886"/>
      <c r="R13" s="886"/>
      <c r="S13" s="887"/>
    </row>
    <row r="14" spans="2:19" s="46" customFormat="1" ht="15" customHeight="1">
      <c r="B14" s="420" t="str">
        <f t="shared" ref="B14:C16" si="0">B5</f>
        <v>F.2</v>
      </c>
      <c r="C14" s="421" t="str">
        <f t="shared" si="0"/>
        <v>INVENTARIO (Media anual)</v>
      </c>
      <c r="D14" s="798">
        <f>'F.2 Inventario'!F21</f>
        <v>38367.723600000005</v>
      </c>
      <c r="E14" s="799"/>
      <c r="F14" s="799"/>
      <c r="G14" s="800"/>
      <c r="H14" s="798"/>
      <c r="I14" s="799"/>
      <c r="J14" s="799"/>
      <c r="K14" s="800"/>
      <c r="L14" s="798"/>
      <c r="M14" s="799"/>
      <c r="N14" s="799"/>
      <c r="O14" s="800"/>
      <c r="P14" s="885">
        <f>D14+H14+L14</f>
        <v>38367.723600000005</v>
      </c>
      <c r="Q14" s="886"/>
      <c r="R14" s="886"/>
      <c r="S14" s="887"/>
    </row>
    <row r="15" spans="2:19" s="46" customFormat="1" ht="15" customHeight="1">
      <c r="B15" s="420" t="str">
        <f t="shared" si="0"/>
        <v>F.3</v>
      </c>
      <c r="C15" s="421" t="str">
        <f t="shared" si="0"/>
        <v>SERVICIOS PROFESIONALES</v>
      </c>
      <c r="D15" s="798">
        <f>'F.3 ServiciosProfesionales'!F127</f>
        <v>60500</v>
      </c>
      <c r="E15" s="799"/>
      <c r="F15" s="799"/>
      <c r="G15" s="800"/>
      <c r="H15" s="798"/>
      <c r="I15" s="799"/>
      <c r="J15" s="799"/>
      <c r="K15" s="800"/>
      <c r="L15" s="798"/>
      <c r="M15" s="799"/>
      <c r="N15" s="799"/>
      <c r="O15" s="800"/>
      <c r="P15" s="885">
        <f>D15+H15+L15</f>
        <v>60500</v>
      </c>
      <c r="Q15" s="886"/>
      <c r="R15" s="886"/>
      <c r="S15" s="887"/>
    </row>
    <row r="16" spans="2:19" s="46" customFormat="1" ht="15" customHeight="1">
      <c r="B16" s="420" t="str">
        <f t="shared" si="0"/>
        <v>F.4</v>
      </c>
      <c r="C16" s="421" t="str">
        <f t="shared" si="0"/>
        <v>OTROS COSTES</v>
      </c>
      <c r="D16" s="798">
        <f>'F.4 Otros Costes'!H16</f>
        <v>49162.5</v>
      </c>
      <c r="E16" s="799"/>
      <c r="F16" s="799"/>
      <c r="G16" s="800"/>
      <c r="H16" s="798"/>
      <c r="I16" s="799"/>
      <c r="J16" s="799"/>
      <c r="K16" s="800"/>
      <c r="L16" s="798"/>
      <c r="M16" s="799"/>
      <c r="N16" s="799"/>
      <c r="O16" s="800"/>
      <c r="P16" s="879">
        <f>D16+H16+L16</f>
        <v>49162.5</v>
      </c>
      <c r="Q16" s="880"/>
      <c r="R16" s="880"/>
      <c r="S16" s="881"/>
    </row>
    <row r="17" spans="2:19" s="46" customFormat="1" ht="15" customHeight="1">
      <c r="B17" s="882" t="s">
        <v>713</v>
      </c>
      <c r="C17" s="883"/>
      <c r="D17" s="884">
        <f>SUM(D13:G16)</f>
        <v>205456.60096383476</v>
      </c>
      <c r="E17" s="797"/>
      <c r="F17" s="797"/>
      <c r="G17" s="797"/>
      <c r="H17" s="797">
        <f>H13+H16+H14+H15</f>
        <v>5676.25</v>
      </c>
      <c r="I17" s="797"/>
      <c r="J17" s="797"/>
      <c r="K17" s="797"/>
      <c r="L17" s="797">
        <f>L13+L16</f>
        <v>1226.0700000000002</v>
      </c>
      <c r="M17" s="797"/>
      <c r="N17" s="797"/>
      <c r="O17" s="797"/>
      <c r="P17" s="764">
        <f>P13+P16+P14+P15</f>
        <v>212358.92096383477</v>
      </c>
      <c r="Q17" s="764"/>
      <c r="R17" s="764"/>
      <c r="S17" s="764"/>
    </row>
    <row r="18" spans="2:19" s="46" customFormat="1" ht="15" customHeight="1">
      <c r="B18" s="47"/>
      <c r="C18" s="48"/>
      <c r="D18" s="48"/>
      <c r="E18" s="48"/>
      <c r="F18" s="48"/>
      <c r="G18" s="48"/>
      <c r="H18" s="48"/>
      <c r="I18" s="48"/>
      <c r="J18" s="48"/>
      <c r="K18" s="48"/>
      <c r="L18" s="48"/>
      <c r="M18" s="48"/>
      <c r="N18" s="48"/>
      <c r="O18" s="48"/>
    </row>
    <row r="19" spans="2:19" s="46" customFormat="1" ht="15" customHeight="1">
      <c r="B19" s="47"/>
      <c r="C19" s="48"/>
      <c r="D19" s="48"/>
      <c r="E19" s="48"/>
      <c r="F19" s="48"/>
      <c r="G19" s="48"/>
      <c r="H19" s="48"/>
      <c r="I19" s="48"/>
      <c r="J19" s="48"/>
      <c r="K19" s="48"/>
      <c r="L19" s="48"/>
      <c r="M19" s="48"/>
      <c r="N19" s="48"/>
      <c r="O19" s="48"/>
    </row>
    <row r="20" spans="2:19" s="46" customFormat="1" ht="15" customHeight="1">
      <c r="B20" s="47"/>
      <c r="C20" s="48"/>
      <c r="D20" s="48"/>
      <c r="E20" s="48"/>
      <c r="F20" s="48"/>
      <c r="G20" s="48"/>
      <c r="H20" s="48"/>
      <c r="I20" s="48"/>
      <c r="J20" s="48"/>
      <c r="K20" s="48"/>
      <c r="L20" s="48"/>
      <c r="M20" s="48"/>
      <c r="N20" s="48"/>
      <c r="O20" s="48"/>
    </row>
    <row r="21" spans="2:19" s="46" customFormat="1" ht="15" customHeight="1">
      <c r="B21" s="47"/>
      <c r="C21" s="48"/>
      <c r="D21" s="48"/>
      <c r="E21" s="48"/>
      <c r="F21" s="48"/>
      <c r="G21" s="48"/>
      <c r="H21" s="48"/>
      <c r="I21" s="48"/>
      <c r="J21" s="48"/>
      <c r="K21" s="48"/>
      <c r="L21" s="48"/>
      <c r="M21" s="48"/>
      <c r="N21" s="48"/>
      <c r="O21" s="48"/>
    </row>
    <row r="22" spans="2:19" s="46" customFormat="1" ht="15" customHeight="1">
      <c r="B22" s="47"/>
      <c r="C22" s="48"/>
      <c r="D22" s="48"/>
      <c r="E22" s="48"/>
      <c r="F22" s="48"/>
      <c r="G22" s="48"/>
      <c r="H22" s="48"/>
      <c r="I22" s="48"/>
      <c r="J22" s="48"/>
      <c r="K22" s="48"/>
      <c r="L22" s="48"/>
      <c r="M22" s="48"/>
      <c r="N22" s="48"/>
      <c r="O22" s="48"/>
    </row>
    <row r="23" spans="2:19" s="46" customFormat="1" ht="15" customHeight="1">
      <c r="B23" s="47"/>
      <c r="C23" s="48"/>
      <c r="D23" s="48"/>
      <c r="E23" s="48"/>
      <c r="F23" s="48"/>
      <c r="G23" s="48"/>
      <c r="H23" s="48"/>
      <c r="I23" s="48"/>
      <c r="J23" s="48"/>
      <c r="K23" s="48"/>
      <c r="L23" s="48"/>
      <c r="M23" s="48"/>
      <c r="N23" s="48"/>
      <c r="O23" s="48"/>
    </row>
    <row r="24" spans="2:19" s="46" customFormat="1" ht="15" customHeight="1">
      <c r="B24" s="47"/>
      <c r="C24" s="48"/>
      <c r="D24" s="48"/>
      <c r="E24" s="48"/>
      <c r="F24" s="48"/>
      <c r="G24" s="48"/>
      <c r="H24" s="48"/>
      <c r="I24" s="48"/>
      <c r="J24" s="48"/>
      <c r="K24" s="48"/>
      <c r="L24" s="48"/>
      <c r="M24" s="48"/>
      <c r="N24" s="48"/>
      <c r="O24" s="48"/>
    </row>
    <row r="25" spans="2:19" s="46" customFormat="1" ht="15" customHeight="1">
      <c r="B25" s="47"/>
      <c r="C25" s="48"/>
      <c r="D25" s="48"/>
      <c r="E25" s="48"/>
      <c r="F25" s="48"/>
      <c r="G25" s="48"/>
      <c r="H25" s="48"/>
      <c r="I25" s="48"/>
      <c r="J25" s="48"/>
      <c r="K25" s="48"/>
      <c r="L25" s="48"/>
      <c r="M25" s="48"/>
      <c r="N25" s="48"/>
      <c r="O25" s="48"/>
    </row>
    <row r="26" spans="2:19" s="46" customFormat="1" ht="15" customHeight="1">
      <c r="B26" s="47"/>
      <c r="C26" s="48"/>
      <c r="D26" s="48"/>
      <c r="E26" s="48"/>
      <c r="F26" s="48"/>
      <c r="G26" s="48"/>
      <c r="H26" s="48"/>
      <c r="I26" s="48"/>
      <c r="J26" s="48"/>
      <c r="K26" s="48"/>
      <c r="L26" s="48"/>
      <c r="M26" s="48"/>
      <c r="N26" s="48"/>
      <c r="O26" s="48"/>
    </row>
    <row r="27" spans="2:19" s="46" customFormat="1" ht="15" customHeight="1">
      <c r="B27" s="47"/>
      <c r="C27" s="48"/>
      <c r="D27" s="48"/>
      <c r="E27" s="48"/>
      <c r="F27" s="48"/>
      <c r="G27" s="48"/>
      <c r="H27" s="48"/>
      <c r="I27" s="48"/>
      <c r="J27" s="48"/>
      <c r="K27" s="48"/>
      <c r="L27" s="48"/>
      <c r="M27" s="48"/>
      <c r="N27" s="48"/>
      <c r="O27" s="48"/>
    </row>
    <row r="28" spans="2:19" s="46" customFormat="1" ht="15" customHeight="1">
      <c r="B28" s="47"/>
      <c r="C28" s="48"/>
      <c r="D28" s="48"/>
      <c r="E28" s="48"/>
      <c r="F28" s="48"/>
      <c r="G28" s="48"/>
      <c r="H28" s="48"/>
      <c r="I28" s="48"/>
      <c r="J28" s="48"/>
      <c r="K28" s="48"/>
      <c r="L28" s="48"/>
      <c r="M28" s="48"/>
      <c r="N28" s="48"/>
      <c r="O28" s="48"/>
    </row>
    <row r="29" spans="2:19" s="46" customFormat="1" ht="15" customHeight="1">
      <c r="B29" s="47"/>
      <c r="C29" s="48"/>
      <c r="D29" s="48"/>
      <c r="E29" s="48"/>
      <c r="F29" s="48"/>
      <c r="G29" s="48"/>
      <c r="H29" s="48"/>
      <c r="I29" s="48"/>
      <c r="J29" s="48"/>
      <c r="K29" s="48"/>
      <c r="L29" s="48"/>
      <c r="M29" s="48"/>
      <c r="N29" s="48"/>
      <c r="O29" s="48"/>
    </row>
    <row r="30" spans="2:19" s="46" customFormat="1" ht="15" customHeight="1">
      <c r="B30" s="47"/>
      <c r="C30" s="48"/>
      <c r="D30" s="48"/>
      <c r="E30" s="48"/>
      <c r="F30" s="48"/>
      <c r="G30" s="48"/>
      <c r="H30" s="48"/>
      <c r="I30" s="48"/>
      <c r="J30" s="48"/>
      <c r="K30" s="48"/>
      <c r="L30" s="48"/>
      <c r="M30" s="48"/>
      <c r="N30" s="48"/>
      <c r="O30" s="48"/>
    </row>
    <row r="31" spans="2:19" s="46" customFormat="1" ht="15" customHeight="1">
      <c r="B31" s="47"/>
      <c r="C31" s="48"/>
      <c r="D31" s="48"/>
      <c r="E31" s="48"/>
      <c r="F31" s="48"/>
      <c r="G31" s="48"/>
      <c r="H31" s="48"/>
      <c r="I31" s="48"/>
      <c r="J31" s="48"/>
      <c r="K31" s="48"/>
      <c r="L31" s="48"/>
      <c r="M31" s="48"/>
      <c r="N31" s="48"/>
      <c r="O31" s="48"/>
    </row>
    <row r="32" spans="2:19" s="46" customFormat="1" ht="15" customHeight="1">
      <c r="B32" s="47"/>
      <c r="C32" s="48"/>
      <c r="D32" s="48"/>
      <c r="E32" s="48"/>
      <c r="F32" s="48"/>
      <c r="G32" s="48"/>
      <c r="H32" s="48"/>
      <c r="I32" s="48"/>
      <c r="J32" s="48"/>
      <c r="K32" s="48"/>
      <c r="L32" s="48"/>
      <c r="M32" s="48"/>
      <c r="N32" s="48"/>
      <c r="O32" s="48"/>
    </row>
    <row r="33" spans="2:15" s="46" customFormat="1" ht="15" customHeight="1">
      <c r="B33" s="47"/>
      <c r="C33" s="48"/>
      <c r="D33" s="48"/>
      <c r="E33" s="48"/>
      <c r="F33" s="48"/>
      <c r="G33" s="48"/>
      <c r="H33" s="48"/>
      <c r="I33" s="48"/>
      <c r="J33" s="48"/>
      <c r="K33" s="48"/>
      <c r="L33" s="48"/>
      <c r="M33" s="48"/>
      <c r="N33" s="48"/>
      <c r="O33" s="48"/>
    </row>
    <row r="34" spans="2:15" s="46" customFormat="1" ht="15" customHeight="1">
      <c r="B34" s="47"/>
      <c r="C34" s="48"/>
      <c r="D34" s="48"/>
      <c r="E34" s="48"/>
      <c r="F34" s="48"/>
      <c r="G34" s="48"/>
      <c r="H34" s="48"/>
      <c r="I34" s="48"/>
      <c r="J34" s="48"/>
      <c r="K34" s="48"/>
      <c r="L34" s="48"/>
      <c r="M34" s="48"/>
      <c r="N34" s="48"/>
      <c r="O34" s="48"/>
    </row>
    <row r="35" spans="2:15" s="46" customFormat="1" ht="15" customHeight="1">
      <c r="B35" s="47"/>
      <c r="C35" s="48"/>
      <c r="D35" s="48"/>
      <c r="E35" s="48"/>
      <c r="F35" s="48"/>
      <c r="G35" s="48"/>
      <c r="H35" s="48"/>
      <c r="I35" s="48"/>
      <c r="J35" s="48"/>
      <c r="K35" s="48"/>
      <c r="L35" s="48"/>
      <c r="M35" s="48"/>
      <c r="N35" s="48"/>
      <c r="O35" s="48"/>
    </row>
    <row r="36" spans="2:15" s="46" customFormat="1" ht="15" customHeight="1">
      <c r="B36" s="47"/>
      <c r="C36" s="48"/>
      <c r="D36" s="48"/>
      <c r="E36" s="48"/>
      <c r="F36" s="48"/>
      <c r="G36" s="48"/>
      <c r="H36" s="48"/>
      <c r="I36" s="48"/>
      <c r="J36" s="48"/>
      <c r="K36" s="48"/>
      <c r="L36" s="48"/>
      <c r="M36" s="48"/>
      <c r="N36" s="48"/>
      <c r="O36" s="48"/>
    </row>
    <row r="37" spans="2:15" s="46" customFormat="1" ht="15" customHeight="1">
      <c r="B37" s="47"/>
      <c r="C37" s="48"/>
      <c r="D37" s="48"/>
      <c r="E37" s="48"/>
      <c r="F37" s="48"/>
      <c r="G37" s="48"/>
      <c r="H37" s="48"/>
      <c r="I37" s="48"/>
      <c r="J37" s="48"/>
      <c r="K37" s="48"/>
      <c r="L37" s="48"/>
      <c r="M37" s="48"/>
      <c r="N37" s="48"/>
      <c r="O37" s="48"/>
    </row>
    <row r="38" spans="2:15" s="46" customFormat="1" ht="15" customHeight="1">
      <c r="B38" s="47"/>
      <c r="C38" s="48"/>
      <c r="D38" s="48"/>
      <c r="E38" s="48"/>
      <c r="F38" s="48"/>
      <c r="G38" s="48"/>
      <c r="H38" s="48"/>
      <c r="I38" s="48"/>
      <c r="J38" s="48"/>
      <c r="K38" s="48"/>
      <c r="L38" s="48"/>
      <c r="M38" s="48"/>
      <c r="N38" s="48"/>
      <c r="O38" s="48"/>
    </row>
    <row r="39" spans="2:15" s="46" customFormat="1" ht="15" customHeight="1">
      <c r="B39" s="47"/>
      <c r="C39" s="48"/>
      <c r="D39" s="48"/>
      <c r="E39" s="48"/>
      <c r="F39" s="48"/>
      <c r="G39" s="48"/>
      <c r="H39" s="48"/>
      <c r="I39" s="48"/>
      <c r="J39" s="48"/>
      <c r="K39" s="48"/>
      <c r="L39" s="48"/>
      <c r="M39" s="48"/>
      <c r="N39" s="48"/>
      <c r="O39" s="48"/>
    </row>
    <row r="40" spans="2:15" s="46" customFormat="1" ht="15" customHeight="1">
      <c r="B40" s="47"/>
      <c r="C40" s="48"/>
      <c r="D40" s="48"/>
      <c r="E40" s="48"/>
      <c r="F40" s="48"/>
      <c r="G40" s="48"/>
      <c r="H40" s="48"/>
      <c r="I40" s="48"/>
      <c r="J40" s="48"/>
      <c r="K40" s="48"/>
      <c r="L40" s="48"/>
      <c r="M40" s="48"/>
      <c r="N40" s="48"/>
      <c r="O40" s="48"/>
    </row>
    <row r="41" spans="2:15" s="46" customFormat="1" ht="15" customHeight="1">
      <c r="B41" s="47"/>
      <c r="C41" s="48"/>
      <c r="D41" s="48"/>
      <c r="E41" s="48"/>
      <c r="F41" s="48"/>
      <c r="G41" s="48"/>
      <c r="H41" s="48"/>
      <c r="I41" s="48"/>
      <c r="J41" s="48"/>
      <c r="K41" s="48"/>
      <c r="L41" s="48"/>
      <c r="M41" s="48"/>
      <c r="N41" s="48"/>
      <c r="O41" s="48"/>
    </row>
    <row r="42" spans="2:15" s="46" customFormat="1" ht="15" customHeight="1">
      <c r="B42" s="47"/>
      <c r="C42" s="48"/>
      <c r="D42" s="48"/>
      <c r="E42" s="48"/>
      <c r="F42" s="48"/>
      <c r="G42" s="48"/>
      <c r="H42" s="48"/>
      <c r="I42" s="48"/>
      <c r="J42" s="48"/>
      <c r="K42" s="48"/>
      <c r="L42" s="48"/>
      <c r="M42" s="48"/>
      <c r="N42" s="48"/>
      <c r="O42" s="48"/>
    </row>
    <row r="43" spans="2:15" s="46" customFormat="1" ht="15" customHeight="1">
      <c r="B43" s="47"/>
      <c r="C43" s="48"/>
      <c r="D43" s="48"/>
      <c r="E43" s="48"/>
      <c r="F43" s="48"/>
      <c r="G43" s="48"/>
      <c r="H43" s="48"/>
      <c r="I43" s="48"/>
      <c r="J43" s="48"/>
      <c r="K43" s="48"/>
      <c r="L43" s="48"/>
      <c r="M43" s="48"/>
      <c r="N43" s="48"/>
      <c r="O43" s="48"/>
    </row>
    <row r="44" spans="2:15" s="46" customFormat="1" ht="15" customHeight="1">
      <c r="B44" s="47"/>
      <c r="C44" s="48"/>
      <c r="D44" s="48"/>
      <c r="E44" s="48"/>
      <c r="F44" s="48"/>
      <c r="G44" s="48"/>
      <c r="H44" s="48"/>
      <c r="I44" s="48"/>
      <c r="J44" s="48"/>
      <c r="K44" s="48"/>
      <c r="L44" s="48"/>
      <c r="M44" s="48"/>
      <c r="N44" s="48"/>
      <c r="O44" s="48"/>
    </row>
    <row r="45" spans="2:15" s="46" customFormat="1" ht="15" customHeight="1">
      <c r="B45" s="47"/>
      <c r="C45" s="48"/>
      <c r="D45" s="48"/>
      <c r="E45" s="48"/>
      <c r="F45" s="48"/>
      <c r="G45" s="48"/>
      <c r="H45" s="48"/>
      <c r="I45" s="48"/>
      <c r="J45" s="48"/>
      <c r="K45" s="48"/>
      <c r="L45" s="48"/>
      <c r="M45" s="48"/>
      <c r="N45" s="48"/>
      <c r="O45" s="48"/>
    </row>
    <row r="46" spans="2:15" s="46" customFormat="1" ht="15" customHeight="1">
      <c r="B46" s="47"/>
      <c r="C46" s="48"/>
      <c r="D46" s="48"/>
      <c r="E46" s="48"/>
      <c r="F46" s="48"/>
      <c r="G46" s="48"/>
      <c r="H46" s="48"/>
      <c r="I46" s="48"/>
      <c r="J46" s="48"/>
      <c r="K46" s="48"/>
      <c r="L46" s="48"/>
      <c r="M46" s="48"/>
      <c r="N46" s="48"/>
      <c r="O46" s="48"/>
    </row>
    <row r="47" spans="2:15" s="46" customFormat="1" ht="15" customHeight="1">
      <c r="B47" s="47"/>
      <c r="C47" s="48"/>
      <c r="D47" s="48"/>
      <c r="E47" s="48"/>
      <c r="F47" s="48"/>
      <c r="G47" s="48"/>
      <c r="H47" s="48"/>
      <c r="I47" s="48"/>
      <c r="J47" s="48"/>
      <c r="K47" s="48"/>
      <c r="L47" s="48"/>
      <c r="M47" s="48"/>
      <c r="N47" s="48"/>
      <c r="O47" s="48"/>
    </row>
    <row r="48" spans="2:15" s="46" customFormat="1" ht="15" customHeight="1">
      <c r="B48" s="47"/>
      <c r="C48" s="48"/>
      <c r="D48" s="48"/>
      <c r="E48" s="48"/>
      <c r="F48" s="48"/>
      <c r="G48" s="48"/>
      <c r="H48" s="48"/>
      <c r="I48" s="48"/>
      <c r="J48" s="48"/>
      <c r="K48" s="48"/>
      <c r="L48" s="48"/>
      <c r="M48" s="48"/>
      <c r="N48" s="48"/>
      <c r="O48" s="48"/>
    </row>
    <row r="49" spans="2:15" s="46" customFormat="1" ht="15" customHeight="1">
      <c r="B49" s="47"/>
      <c r="C49" s="48"/>
      <c r="D49" s="48"/>
      <c r="E49" s="48"/>
      <c r="F49" s="48"/>
      <c r="G49" s="48"/>
      <c r="H49" s="48"/>
      <c r="I49" s="48"/>
      <c r="J49" s="48"/>
      <c r="K49" s="48"/>
      <c r="L49" s="48"/>
      <c r="M49" s="48"/>
      <c r="N49" s="48"/>
      <c r="O49" s="48"/>
    </row>
    <row r="50" spans="2:15" s="46" customFormat="1" ht="15" customHeight="1">
      <c r="B50" s="47"/>
      <c r="C50" s="48"/>
      <c r="D50" s="48"/>
      <c r="E50" s="48"/>
      <c r="F50" s="48"/>
      <c r="G50" s="48"/>
      <c r="H50" s="48"/>
      <c r="I50" s="48"/>
      <c r="J50" s="48"/>
      <c r="K50" s="48"/>
      <c r="L50" s="48"/>
      <c r="M50" s="48"/>
      <c r="N50" s="48"/>
      <c r="O50" s="48"/>
    </row>
    <row r="51" spans="2:15" s="46" customFormat="1" ht="15" customHeight="1">
      <c r="B51" s="47"/>
      <c r="C51" s="48"/>
      <c r="D51" s="48"/>
      <c r="E51" s="48"/>
      <c r="F51" s="48"/>
      <c r="G51" s="48"/>
      <c r="H51" s="48"/>
      <c r="I51" s="48"/>
      <c r="J51" s="48"/>
      <c r="K51" s="48"/>
      <c r="L51" s="48"/>
      <c r="M51" s="48"/>
      <c r="N51" s="48"/>
      <c r="O51" s="48"/>
    </row>
    <row r="52" spans="2:15" s="46" customFormat="1" ht="15" customHeight="1">
      <c r="B52" s="47"/>
      <c r="C52" s="48"/>
      <c r="D52" s="48"/>
      <c r="E52" s="48"/>
      <c r="F52" s="48"/>
      <c r="G52" s="48"/>
      <c r="H52" s="48"/>
      <c r="I52" s="48"/>
      <c r="J52" s="48"/>
      <c r="K52" s="48"/>
      <c r="L52" s="48"/>
      <c r="M52" s="48"/>
      <c r="N52" s="48"/>
      <c r="O52" s="48"/>
    </row>
    <row r="53" spans="2:15" s="46" customFormat="1" ht="15" customHeight="1">
      <c r="B53" s="47"/>
      <c r="C53" s="48"/>
      <c r="D53" s="48"/>
      <c r="E53" s="48"/>
      <c r="F53" s="48"/>
      <c r="G53" s="48"/>
      <c r="H53" s="48"/>
      <c r="I53" s="48"/>
      <c r="J53" s="48"/>
      <c r="K53" s="48"/>
      <c r="L53" s="48"/>
      <c r="M53" s="48"/>
      <c r="N53" s="48"/>
      <c r="O53" s="48"/>
    </row>
    <row r="54" spans="2:15" s="46" customFormat="1" ht="15" customHeight="1">
      <c r="B54" s="47"/>
      <c r="C54" s="48"/>
      <c r="D54" s="48"/>
      <c r="E54" s="48"/>
      <c r="F54" s="48"/>
      <c r="G54" s="48"/>
      <c r="H54" s="48"/>
      <c r="I54" s="48"/>
      <c r="J54" s="48"/>
      <c r="K54" s="48"/>
      <c r="L54" s="48"/>
      <c r="M54" s="48"/>
      <c r="N54" s="48"/>
      <c r="O54" s="48"/>
    </row>
    <row r="55" spans="2:15" s="46" customFormat="1" ht="15" customHeight="1">
      <c r="B55" s="47"/>
      <c r="C55" s="48"/>
      <c r="D55" s="48"/>
      <c r="E55" s="48"/>
      <c r="F55" s="48"/>
      <c r="G55" s="48"/>
      <c r="H55" s="48"/>
      <c r="I55" s="48"/>
      <c r="J55" s="48"/>
      <c r="K55" s="48"/>
      <c r="L55" s="48"/>
      <c r="M55" s="48"/>
      <c r="N55" s="48"/>
      <c r="O55" s="48"/>
    </row>
    <row r="56" spans="2:15" s="46" customFormat="1" ht="15" customHeight="1">
      <c r="B56" s="47"/>
      <c r="C56" s="48"/>
      <c r="D56" s="48"/>
      <c r="E56" s="48"/>
      <c r="F56" s="48"/>
      <c r="G56" s="48"/>
      <c r="H56" s="48"/>
      <c r="I56" s="48"/>
      <c r="J56" s="48"/>
      <c r="K56" s="48"/>
      <c r="L56" s="48"/>
      <c r="M56" s="48"/>
      <c r="N56" s="48"/>
      <c r="O56" s="48"/>
    </row>
    <row r="57" spans="2:15" s="46" customFormat="1" ht="15" customHeight="1">
      <c r="B57" s="47"/>
      <c r="C57" s="48"/>
      <c r="D57" s="48"/>
      <c r="E57" s="48"/>
      <c r="F57" s="48"/>
      <c r="G57" s="48"/>
      <c r="H57" s="48"/>
      <c r="I57" s="48"/>
      <c r="J57" s="48"/>
      <c r="K57" s="48"/>
      <c r="L57" s="48"/>
      <c r="M57" s="48"/>
      <c r="N57" s="48"/>
      <c r="O57" s="48"/>
    </row>
    <row r="58" spans="2:15" s="46" customFormat="1" ht="15" customHeight="1">
      <c r="B58" s="47"/>
      <c r="C58" s="48"/>
      <c r="D58" s="48"/>
      <c r="E58" s="48"/>
      <c r="F58" s="48"/>
      <c r="G58" s="48"/>
      <c r="H58" s="48"/>
      <c r="I58" s="48"/>
      <c r="J58" s="48"/>
      <c r="K58" s="48"/>
      <c r="L58" s="48"/>
      <c r="M58" s="48"/>
      <c r="N58" s="48"/>
      <c r="O58" s="48"/>
    </row>
    <row r="59" spans="2:15" s="46" customFormat="1" ht="15" customHeight="1">
      <c r="B59" s="47"/>
      <c r="C59" s="48"/>
      <c r="D59" s="48"/>
      <c r="E59" s="48"/>
      <c r="F59" s="48"/>
      <c r="G59" s="48"/>
      <c r="H59" s="48"/>
      <c r="I59" s="48"/>
      <c r="J59" s="48"/>
      <c r="K59" s="48"/>
      <c r="L59" s="48"/>
      <c r="M59" s="48"/>
      <c r="N59" s="48"/>
      <c r="O59" s="48"/>
    </row>
    <row r="60" spans="2:15" s="46" customFormat="1" ht="15" customHeight="1">
      <c r="B60" s="47"/>
      <c r="C60" s="48"/>
      <c r="D60" s="48"/>
      <c r="E60" s="48"/>
      <c r="F60" s="48"/>
      <c r="G60" s="48"/>
      <c r="H60" s="48"/>
      <c r="I60" s="48"/>
      <c r="J60" s="48"/>
      <c r="K60" s="48"/>
      <c r="L60" s="48"/>
      <c r="M60" s="48"/>
      <c r="N60" s="48"/>
      <c r="O60" s="48"/>
    </row>
    <row r="61" spans="2:15" s="46" customFormat="1" ht="15" customHeight="1">
      <c r="B61" s="47"/>
      <c r="C61" s="48"/>
      <c r="D61" s="48"/>
      <c r="E61" s="48"/>
      <c r="F61" s="48"/>
      <c r="G61" s="48"/>
      <c r="H61" s="48"/>
      <c r="I61" s="48"/>
      <c r="J61" s="48"/>
      <c r="K61" s="48"/>
      <c r="L61" s="48"/>
      <c r="M61" s="48"/>
      <c r="N61" s="48"/>
      <c r="O61" s="48"/>
    </row>
    <row r="62" spans="2:15" s="46" customFormat="1" ht="15" customHeight="1">
      <c r="B62" s="47"/>
      <c r="C62" s="48"/>
      <c r="D62" s="48"/>
      <c r="E62" s="48"/>
      <c r="F62" s="48"/>
      <c r="G62" s="48"/>
      <c r="H62" s="48"/>
      <c r="I62" s="48"/>
      <c r="J62" s="48"/>
      <c r="K62" s="48"/>
      <c r="L62" s="48"/>
      <c r="M62" s="48"/>
      <c r="N62" s="48"/>
      <c r="O62" s="48"/>
    </row>
    <row r="63" spans="2:15" s="46" customFormat="1" ht="15" customHeight="1">
      <c r="B63" s="47"/>
      <c r="C63" s="48"/>
      <c r="D63" s="48"/>
      <c r="E63" s="48"/>
      <c r="F63" s="48"/>
      <c r="G63" s="48"/>
      <c r="H63" s="48"/>
      <c r="I63" s="48"/>
      <c r="J63" s="48"/>
      <c r="K63" s="48"/>
      <c r="L63" s="48"/>
      <c r="M63" s="48"/>
      <c r="N63" s="48"/>
      <c r="O63" s="48"/>
    </row>
    <row r="64" spans="2:15" s="46" customFormat="1" ht="15" customHeight="1">
      <c r="B64" s="47"/>
      <c r="C64" s="48"/>
      <c r="D64" s="48"/>
      <c r="E64" s="48"/>
      <c r="F64" s="48"/>
      <c r="G64" s="48"/>
      <c r="H64" s="48"/>
      <c r="I64" s="48"/>
      <c r="J64" s="48"/>
      <c r="K64" s="48"/>
      <c r="L64" s="48"/>
      <c r="M64" s="48"/>
      <c r="N64" s="48"/>
      <c r="O64" s="48"/>
    </row>
    <row r="65" spans="2:15" s="46" customFormat="1" ht="15" customHeight="1">
      <c r="B65" s="47"/>
      <c r="C65" s="48"/>
      <c r="D65" s="48"/>
      <c r="E65" s="48"/>
      <c r="F65" s="48"/>
      <c r="G65" s="48"/>
      <c r="H65" s="48"/>
      <c r="I65" s="48"/>
      <c r="J65" s="48"/>
      <c r="K65" s="48"/>
      <c r="L65" s="48"/>
      <c r="M65" s="48"/>
      <c r="N65" s="48"/>
      <c r="O65" s="48"/>
    </row>
    <row r="66" spans="2:15" s="46" customFormat="1" ht="15" customHeight="1">
      <c r="B66" s="47"/>
      <c r="C66" s="48"/>
      <c r="D66" s="48"/>
      <c r="E66" s="48"/>
      <c r="F66" s="48"/>
      <c r="G66" s="48"/>
      <c r="H66" s="48"/>
      <c r="I66" s="48"/>
      <c r="J66" s="48"/>
      <c r="K66" s="48"/>
      <c r="L66" s="48"/>
      <c r="M66" s="48"/>
      <c r="N66" s="48"/>
      <c r="O66" s="48"/>
    </row>
    <row r="67" spans="2:15" s="46" customFormat="1" ht="15" customHeight="1">
      <c r="B67" s="47"/>
      <c r="C67" s="48"/>
      <c r="D67" s="48"/>
      <c r="E67" s="48"/>
      <c r="F67" s="48"/>
      <c r="G67" s="48"/>
      <c r="H67" s="48"/>
      <c r="I67" s="48"/>
      <c r="J67" s="48"/>
      <c r="K67" s="48"/>
      <c r="L67" s="48"/>
      <c r="M67" s="48"/>
      <c r="N67" s="48"/>
      <c r="O67" s="48"/>
    </row>
    <row r="68" spans="2:15" s="46" customFormat="1" ht="15" customHeight="1">
      <c r="B68" s="47"/>
      <c r="C68" s="48"/>
      <c r="D68" s="48"/>
      <c r="E68" s="48"/>
      <c r="F68" s="48"/>
      <c r="G68" s="48"/>
      <c r="H68" s="48"/>
      <c r="I68" s="48"/>
      <c r="J68" s="48"/>
      <c r="K68" s="48"/>
      <c r="L68" s="48"/>
      <c r="M68" s="48"/>
      <c r="N68" s="48"/>
      <c r="O68" s="48"/>
    </row>
    <row r="69" spans="2:15" s="46" customFormat="1" ht="15" customHeight="1">
      <c r="B69" s="47"/>
      <c r="C69" s="48"/>
      <c r="D69" s="48"/>
      <c r="E69" s="48"/>
      <c r="F69" s="48"/>
      <c r="G69" s="48"/>
      <c r="H69" s="48"/>
      <c r="I69" s="48"/>
      <c r="J69" s="48"/>
      <c r="K69" s="48"/>
      <c r="L69" s="48"/>
      <c r="M69" s="48"/>
      <c r="N69" s="48"/>
      <c r="O69" s="48"/>
    </row>
    <row r="70" spans="2:15" s="46" customFormat="1" ht="15" customHeight="1">
      <c r="B70" s="47"/>
      <c r="C70" s="48"/>
      <c r="D70" s="48"/>
      <c r="E70" s="48"/>
      <c r="F70" s="48"/>
      <c r="G70" s="48"/>
      <c r="H70" s="48"/>
      <c r="I70" s="48"/>
      <c r="J70" s="48"/>
      <c r="K70" s="48"/>
      <c r="L70" s="48"/>
      <c r="M70" s="48"/>
      <c r="N70" s="48"/>
      <c r="O70" s="48"/>
    </row>
    <row r="71" spans="2:15" s="46" customFormat="1" ht="15" customHeight="1">
      <c r="B71" s="47"/>
      <c r="C71" s="48"/>
      <c r="D71" s="48"/>
      <c r="E71" s="48"/>
      <c r="F71" s="48"/>
      <c r="G71" s="48"/>
      <c r="H71" s="48"/>
      <c r="I71" s="48"/>
      <c r="J71" s="48"/>
      <c r="K71" s="48"/>
      <c r="L71" s="48"/>
      <c r="M71" s="48"/>
      <c r="N71" s="48"/>
      <c r="O71" s="48"/>
    </row>
    <row r="72" spans="2:15" s="46" customFormat="1" ht="15" customHeight="1">
      <c r="B72" s="47"/>
      <c r="C72" s="48"/>
      <c r="D72" s="48"/>
      <c r="E72" s="48"/>
      <c r="F72" s="48"/>
      <c r="G72" s="48"/>
      <c r="H72" s="48"/>
      <c r="I72" s="48"/>
      <c r="J72" s="48"/>
      <c r="K72" s="48"/>
      <c r="L72" s="48"/>
      <c r="M72" s="48"/>
      <c r="N72" s="48"/>
      <c r="O72" s="48"/>
    </row>
    <row r="73" spans="2:15" s="46" customFormat="1" ht="15" customHeight="1">
      <c r="B73" s="47"/>
      <c r="C73" s="48"/>
      <c r="D73" s="48"/>
      <c r="E73" s="48"/>
      <c r="F73" s="48"/>
      <c r="G73" s="48"/>
      <c r="H73" s="48"/>
      <c r="I73" s="48"/>
      <c r="J73" s="48"/>
      <c r="K73" s="48"/>
      <c r="L73" s="48"/>
      <c r="M73" s="48"/>
      <c r="N73" s="48"/>
      <c r="O73" s="48"/>
    </row>
    <row r="74" spans="2:15" s="46" customFormat="1" ht="15" customHeight="1">
      <c r="B74" s="47"/>
      <c r="C74" s="48"/>
      <c r="D74" s="48"/>
      <c r="E74" s="48"/>
      <c r="F74" s="48"/>
      <c r="G74" s="48"/>
      <c r="H74" s="48"/>
      <c r="I74" s="48"/>
      <c r="J74" s="48"/>
      <c r="K74" s="48"/>
      <c r="L74" s="48"/>
      <c r="M74" s="48"/>
      <c r="N74" s="48"/>
      <c r="O74" s="48"/>
    </row>
    <row r="75" spans="2:15" s="46" customFormat="1" ht="15" customHeight="1">
      <c r="B75" s="47"/>
      <c r="C75" s="48"/>
      <c r="D75" s="48"/>
      <c r="E75" s="48"/>
      <c r="F75" s="48"/>
      <c r="G75" s="48"/>
      <c r="H75" s="48"/>
      <c r="I75" s="48"/>
      <c r="J75" s="48"/>
      <c r="K75" s="48"/>
      <c r="L75" s="48"/>
      <c r="M75" s="48"/>
      <c r="N75" s="48"/>
      <c r="O75" s="48"/>
    </row>
    <row r="76" spans="2:15" s="46" customFormat="1" ht="15" customHeight="1">
      <c r="B76" s="47"/>
      <c r="C76" s="48"/>
      <c r="D76" s="48"/>
      <c r="E76" s="48"/>
      <c r="F76" s="48"/>
      <c r="G76" s="48"/>
      <c r="H76" s="48"/>
      <c r="I76" s="48"/>
      <c r="J76" s="48"/>
      <c r="K76" s="48"/>
      <c r="L76" s="48"/>
      <c r="M76" s="48"/>
      <c r="N76" s="48"/>
      <c r="O76" s="48"/>
    </row>
    <row r="77" spans="2:15" s="46" customFormat="1" ht="15" customHeight="1">
      <c r="B77" s="47"/>
      <c r="C77" s="48"/>
      <c r="D77" s="48"/>
      <c r="E77" s="48"/>
      <c r="F77" s="48"/>
      <c r="G77" s="48"/>
      <c r="H77" s="48"/>
      <c r="I77" s="48"/>
      <c r="J77" s="48"/>
      <c r="K77" s="48"/>
      <c r="L77" s="48"/>
      <c r="M77" s="48"/>
      <c r="N77" s="48"/>
      <c r="O77" s="48"/>
    </row>
    <row r="78" spans="2:15" s="46" customFormat="1" ht="15" customHeight="1">
      <c r="B78" s="47"/>
      <c r="C78" s="48"/>
      <c r="D78" s="48"/>
      <c r="E78" s="48"/>
      <c r="F78" s="48"/>
      <c r="G78" s="48"/>
      <c r="H78" s="48"/>
      <c r="I78" s="48"/>
      <c r="J78" s="48"/>
      <c r="K78" s="48"/>
      <c r="L78" s="48"/>
      <c r="M78" s="48"/>
      <c r="N78" s="48"/>
      <c r="O78" s="48"/>
    </row>
    <row r="79" spans="2:15" s="46" customFormat="1" ht="15" customHeight="1">
      <c r="B79" s="47"/>
      <c r="C79" s="48"/>
      <c r="D79" s="48"/>
      <c r="E79" s="48"/>
      <c r="F79" s="48"/>
      <c r="G79" s="48"/>
      <c r="H79" s="48"/>
      <c r="I79" s="48"/>
      <c r="J79" s="48"/>
      <c r="K79" s="48"/>
      <c r="L79" s="48"/>
      <c r="M79" s="48"/>
      <c r="N79" s="48"/>
      <c r="O79" s="48"/>
    </row>
    <row r="80" spans="2:15" s="46" customFormat="1" ht="15" customHeight="1">
      <c r="B80" s="47"/>
      <c r="C80" s="48"/>
      <c r="D80" s="48"/>
      <c r="E80" s="48"/>
      <c r="F80" s="48"/>
      <c r="G80" s="48"/>
      <c r="H80" s="48"/>
      <c r="I80" s="48"/>
      <c r="J80" s="48"/>
      <c r="K80" s="48"/>
      <c r="L80" s="48"/>
      <c r="M80" s="48"/>
      <c r="N80" s="48"/>
      <c r="O80" s="48"/>
    </row>
    <row r="81" spans="2:15" s="46" customFormat="1" ht="15" customHeight="1">
      <c r="B81" s="47"/>
      <c r="C81" s="48"/>
      <c r="D81" s="48"/>
      <c r="E81" s="48"/>
      <c r="F81" s="48"/>
      <c r="G81" s="48"/>
      <c r="H81" s="48"/>
      <c r="I81" s="48"/>
      <c r="J81" s="48"/>
      <c r="K81" s="48"/>
      <c r="L81" s="48"/>
      <c r="M81" s="48"/>
      <c r="N81" s="48"/>
      <c r="O81" s="48"/>
    </row>
    <row r="82" spans="2:15" s="46" customFormat="1" ht="15" customHeight="1">
      <c r="B82" s="47"/>
      <c r="C82" s="48"/>
      <c r="D82" s="48"/>
      <c r="E82" s="48"/>
      <c r="F82" s="48"/>
      <c r="G82" s="48"/>
      <c r="H82" s="48"/>
      <c r="I82" s="48"/>
      <c r="J82" s="48"/>
      <c r="K82" s="48"/>
      <c r="L82" s="48"/>
      <c r="M82" s="48"/>
      <c r="N82" s="48"/>
      <c r="O82" s="48"/>
    </row>
    <row r="83" spans="2:15" s="46" customFormat="1" ht="15" customHeight="1">
      <c r="B83" s="47"/>
      <c r="C83" s="48"/>
      <c r="D83" s="48"/>
      <c r="E83" s="48"/>
      <c r="F83" s="48"/>
      <c r="G83" s="48"/>
      <c r="H83" s="48"/>
      <c r="I83" s="48"/>
      <c r="J83" s="48"/>
      <c r="K83" s="48"/>
      <c r="L83" s="48"/>
      <c r="M83" s="48"/>
      <c r="N83" s="48"/>
      <c r="O83" s="48"/>
    </row>
    <row r="84" spans="2:15" s="46" customFormat="1" ht="15" customHeight="1">
      <c r="B84" s="47"/>
      <c r="C84" s="48"/>
      <c r="D84" s="48"/>
      <c r="E84" s="48"/>
      <c r="F84" s="48"/>
      <c r="G84" s="48"/>
      <c r="H84" s="48"/>
      <c r="I84" s="48"/>
      <c r="J84" s="48"/>
      <c r="K84" s="48"/>
      <c r="L84" s="48"/>
      <c r="M84" s="48"/>
      <c r="N84" s="48"/>
      <c r="O84" s="48"/>
    </row>
    <row r="85" spans="2:15" s="46" customFormat="1" ht="15" customHeight="1">
      <c r="B85" s="47"/>
      <c r="C85" s="48"/>
      <c r="D85" s="48"/>
      <c r="E85" s="48"/>
      <c r="F85" s="48"/>
      <c r="G85" s="48"/>
      <c r="H85" s="48"/>
      <c r="I85" s="48"/>
      <c r="J85" s="48"/>
      <c r="K85" s="48"/>
      <c r="L85" s="48"/>
      <c r="M85" s="48"/>
      <c r="N85" s="48"/>
      <c r="O85" s="48"/>
    </row>
    <row r="86" spans="2:15" s="46" customFormat="1" ht="15" customHeight="1">
      <c r="B86" s="47"/>
      <c r="C86" s="48"/>
      <c r="D86" s="48"/>
      <c r="E86" s="48"/>
      <c r="F86" s="48"/>
      <c r="G86" s="48"/>
      <c r="H86" s="48"/>
      <c r="I86" s="48"/>
      <c r="J86" s="48"/>
      <c r="K86" s="48"/>
      <c r="L86" s="48"/>
      <c r="M86" s="48"/>
      <c r="N86" s="48"/>
      <c r="O86" s="48"/>
    </row>
    <row r="87" spans="2:15" s="46" customFormat="1" ht="15" customHeight="1">
      <c r="B87" s="47"/>
      <c r="C87" s="48"/>
      <c r="D87" s="48"/>
      <c r="E87" s="48"/>
      <c r="F87" s="48"/>
      <c r="G87" s="48"/>
      <c r="H87" s="48"/>
      <c r="I87" s="48"/>
      <c r="J87" s="48"/>
      <c r="K87" s="48"/>
      <c r="L87" s="48"/>
      <c r="M87" s="48"/>
      <c r="N87" s="48"/>
      <c r="O87" s="48"/>
    </row>
    <row r="88" spans="2:15" s="46" customFormat="1" ht="15" customHeight="1">
      <c r="B88" s="47"/>
      <c r="C88" s="48"/>
      <c r="D88" s="48"/>
      <c r="E88" s="48"/>
      <c r="F88" s="48"/>
      <c r="G88" s="48"/>
      <c r="H88" s="48"/>
      <c r="I88" s="48"/>
      <c r="J88" s="48"/>
      <c r="K88" s="48"/>
      <c r="L88" s="48"/>
      <c r="M88" s="48"/>
      <c r="N88" s="48"/>
      <c r="O88" s="48"/>
    </row>
    <row r="89" spans="2:15" s="46" customFormat="1" ht="15" customHeight="1">
      <c r="B89" s="47"/>
      <c r="C89" s="48"/>
      <c r="D89" s="48"/>
      <c r="E89" s="48"/>
      <c r="F89" s="48"/>
      <c r="G89" s="48"/>
      <c r="H89" s="48"/>
      <c r="I89" s="48"/>
      <c r="J89" s="48"/>
      <c r="K89" s="48"/>
      <c r="L89" s="48"/>
      <c r="M89" s="48"/>
      <c r="N89" s="48"/>
      <c r="O89" s="48"/>
    </row>
    <row r="90" spans="2:15" s="46" customFormat="1" ht="15" customHeight="1">
      <c r="B90" s="47"/>
      <c r="C90" s="48"/>
      <c r="D90" s="48"/>
      <c r="E90" s="48"/>
      <c r="F90" s="48"/>
      <c r="G90" s="48"/>
      <c r="H90" s="48"/>
      <c r="I90" s="48"/>
      <c r="J90" s="48"/>
      <c r="K90" s="48"/>
      <c r="L90" s="48"/>
      <c r="M90" s="48"/>
      <c r="N90" s="48"/>
      <c r="O90" s="48"/>
    </row>
    <row r="91" spans="2:15" s="46" customFormat="1" ht="15" customHeight="1">
      <c r="B91" s="47"/>
      <c r="C91" s="48"/>
      <c r="D91" s="48"/>
      <c r="E91" s="48"/>
      <c r="F91" s="48"/>
      <c r="G91" s="48"/>
      <c r="H91" s="48"/>
      <c r="I91" s="48"/>
      <c r="J91" s="48"/>
      <c r="K91" s="48"/>
      <c r="L91" s="48"/>
      <c r="M91" s="48"/>
      <c r="N91" s="48"/>
      <c r="O91" s="48"/>
    </row>
    <row r="92" spans="2:15" s="46" customFormat="1" ht="15" customHeight="1">
      <c r="B92" s="47"/>
      <c r="C92" s="48"/>
      <c r="D92" s="48"/>
      <c r="E92" s="48"/>
      <c r="F92" s="48"/>
      <c r="G92" s="48"/>
      <c r="H92" s="48"/>
      <c r="I92" s="48"/>
      <c r="J92" s="48"/>
      <c r="K92" s="48"/>
      <c r="L92" s="48"/>
      <c r="M92" s="48"/>
      <c r="N92" s="48"/>
      <c r="O92" s="48"/>
    </row>
    <row r="93" spans="2:15" s="46" customFormat="1" ht="15" customHeight="1">
      <c r="B93" s="47"/>
      <c r="C93" s="48"/>
      <c r="D93" s="48"/>
      <c r="E93" s="48"/>
      <c r="F93" s="48"/>
      <c r="G93" s="48"/>
      <c r="H93" s="48"/>
      <c r="I93" s="48"/>
      <c r="J93" s="48"/>
      <c r="K93" s="48"/>
      <c r="L93" s="48"/>
      <c r="M93" s="48"/>
      <c r="N93" s="48"/>
      <c r="O93" s="48"/>
    </row>
    <row r="94" spans="2:15" s="46" customFormat="1" ht="15" customHeight="1">
      <c r="B94" s="47"/>
      <c r="C94" s="48"/>
      <c r="D94" s="48"/>
      <c r="E94" s="48"/>
      <c r="F94" s="48"/>
      <c r="G94" s="48"/>
      <c r="H94" s="48"/>
      <c r="I94" s="48"/>
      <c r="J94" s="48"/>
      <c r="K94" s="48"/>
      <c r="L94" s="48"/>
      <c r="M94" s="48"/>
      <c r="N94" s="48"/>
      <c r="O94" s="48"/>
    </row>
    <row r="95" spans="2:15" s="46" customFormat="1" ht="15" customHeight="1">
      <c r="B95" s="47"/>
      <c r="C95" s="48"/>
      <c r="D95" s="48"/>
      <c r="E95" s="48"/>
      <c r="F95" s="48"/>
      <c r="G95" s="48"/>
      <c r="H95" s="48"/>
      <c r="I95" s="48"/>
      <c r="J95" s="48"/>
      <c r="K95" s="48"/>
      <c r="L95" s="48"/>
      <c r="M95" s="48"/>
      <c r="N95" s="48"/>
      <c r="O95" s="48"/>
    </row>
    <row r="96" spans="2:15" s="46" customFormat="1" ht="15" customHeight="1">
      <c r="B96" s="47"/>
      <c r="C96" s="48"/>
      <c r="D96" s="48"/>
      <c r="E96" s="48"/>
      <c r="F96" s="48"/>
      <c r="G96" s="48"/>
      <c r="H96" s="48"/>
      <c r="I96" s="48"/>
      <c r="J96" s="48"/>
      <c r="K96" s="48"/>
      <c r="L96" s="48"/>
      <c r="M96" s="48"/>
      <c r="N96" s="48"/>
      <c r="O96" s="48"/>
    </row>
    <row r="97" spans="2:15" s="46" customFormat="1" ht="15" customHeight="1">
      <c r="B97" s="47"/>
      <c r="C97" s="48"/>
      <c r="D97" s="48"/>
      <c r="E97" s="48"/>
      <c r="F97" s="48"/>
      <c r="G97" s="48"/>
      <c r="H97" s="48"/>
      <c r="I97" s="48"/>
      <c r="J97" s="48"/>
      <c r="K97" s="48"/>
      <c r="L97" s="48"/>
      <c r="M97" s="48"/>
      <c r="N97" s="48"/>
      <c r="O97" s="48"/>
    </row>
    <row r="98" spans="2:15" s="46" customFormat="1" ht="15" customHeight="1">
      <c r="B98" s="47"/>
      <c r="C98" s="48"/>
      <c r="D98" s="48"/>
      <c r="E98" s="48"/>
      <c r="F98" s="48"/>
      <c r="G98" s="48"/>
      <c r="H98" s="48"/>
      <c r="I98" s="48"/>
      <c r="J98" s="48"/>
      <c r="K98" s="48"/>
      <c r="L98" s="48"/>
      <c r="M98" s="48"/>
      <c r="N98" s="48"/>
      <c r="O98" s="48"/>
    </row>
    <row r="99" spans="2:15" s="46" customFormat="1" ht="15" customHeight="1">
      <c r="B99" s="47"/>
      <c r="C99" s="48"/>
      <c r="D99" s="48"/>
      <c r="E99" s="48"/>
      <c r="F99" s="48"/>
      <c r="G99" s="48"/>
      <c r="H99" s="48"/>
      <c r="I99" s="48"/>
      <c r="J99" s="48"/>
      <c r="K99" s="48"/>
      <c r="L99" s="48"/>
      <c r="M99" s="48"/>
      <c r="N99" s="48"/>
      <c r="O99" s="48"/>
    </row>
    <row r="100" spans="2:15" s="46" customFormat="1" ht="15" customHeight="1">
      <c r="B100" s="47"/>
      <c r="C100" s="48"/>
      <c r="D100" s="48"/>
      <c r="E100" s="48"/>
      <c r="F100" s="48"/>
      <c r="G100" s="48"/>
      <c r="H100" s="48"/>
      <c r="I100" s="48"/>
      <c r="J100" s="48"/>
      <c r="K100" s="48"/>
      <c r="L100" s="48"/>
      <c r="M100" s="48"/>
      <c r="N100" s="48"/>
      <c r="O100" s="48"/>
    </row>
    <row r="101" spans="2:15" s="46" customFormat="1" ht="15" customHeight="1">
      <c r="B101" s="47"/>
      <c r="C101" s="48"/>
      <c r="D101" s="48"/>
      <c r="E101" s="48"/>
      <c r="F101" s="48"/>
      <c r="G101" s="48"/>
      <c r="H101" s="48"/>
      <c r="I101" s="48"/>
      <c r="J101" s="48"/>
      <c r="K101" s="48"/>
      <c r="L101" s="48"/>
      <c r="M101" s="48"/>
      <c r="N101" s="48"/>
      <c r="O101" s="48"/>
    </row>
    <row r="102" spans="2:15" s="46" customFormat="1" ht="15" customHeight="1">
      <c r="B102" s="47"/>
      <c r="C102" s="48"/>
      <c r="D102" s="48"/>
      <c r="E102" s="48"/>
      <c r="F102" s="48"/>
      <c r="G102" s="48"/>
      <c r="H102" s="48"/>
      <c r="I102" s="48"/>
      <c r="J102" s="48"/>
      <c r="K102" s="48"/>
      <c r="L102" s="48"/>
      <c r="M102" s="48"/>
      <c r="N102" s="48"/>
      <c r="O102" s="48"/>
    </row>
    <row r="103" spans="2:15" s="46" customFormat="1" ht="15" customHeight="1">
      <c r="B103" s="47"/>
      <c r="C103" s="48"/>
      <c r="D103" s="48"/>
      <c r="E103" s="48"/>
      <c r="F103" s="48"/>
      <c r="G103" s="48"/>
      <c r="H103" s="48"/>
      <c r="I103" s="48"/>
      <c r="J103" s="48"/>
      <c r="K103" s="48"/>
      <c r="L103" s="48"/>
      <c r="M103" s="48"/>
      <c r="N103" s="48"/>
      <c r="O103" s="48"/>
    </row>
    <row r="104" spans="2:15" s="46" customFormat="1" ht="15" customHeight="1">
      <c r="B104" s="47"/>
      <c r="C104" s="48"/>
      <c r="D104" s="48"/>
      <c r="E104" s="48"/>
      <c r="F104" s="48"/>
      <c r="G104" s="48"/>
      <c r="H104" s="48"/>
      <c r="I104" s="48"/>
      <c r="J104" s="48"/>
      <c r="K104" s="48"/>
      <c r="L104" s="48"/>
      <c r="M104" s="48"/>
      <c r="N104" s="48"/>
      <c r="O104" s="48"/>
    </row>
    <row r="105" spans="2:15" s="46" customFormat="1" ht="15" customHeight="1">
      <c r="B105" s="47"/>
      <c r="C105" s="48"/>
      <c r="D105" s="48"/>
      <c r="E105" s="48"/>
      <c r="F105" s="48"/>
      <c r="G105" s="48"/>
      <c r="H105" s="48"/>
      <c r="I105" s="48"/>
      <c r="J105" s="48"/>
      <c r="K105" s="48"/>
      <c r="L105" s="48"/>
      <c r="M105" s="48"/>
      <c r="N105" s="48"/>
      <c r="O105" s="48"/>
    </row>
    <row r="106" spans="2:15" s="46" customFormat="1" ht="15" customHeight="1">
      <c r="B106" s="47"/>
      <c r="C106" s="48"/>
      <c r="D106" s="48"/>
      <c r="E106" s="48"/>
      <c r="F106" s="48"/>
      <c r="G106" s="48"/>
      <c r="H106" s="48"/>
      <c r="I106" s="48"/>
      <c r="J106" s="48"/>
      <c r="K106" s="48"/>
      <c r="L106" s="48"/>
      <c r="M106" s="48"/>
      <c r="N106" s="48"/>
      <c r="O106" s="48"/>
    </row>
    <row r="107" spans="2:15" s="46" customFormat="1" ht="15" customHeight="1">
      <c r="B107" s="47"/>
      <c r="C107" s="48"/>
      <c r="D107" s="48"/>
      <c r="E107" s="48"/>
      <c r="F107" s="48"/>
      <c r="G107" s="48"/>
      <c r="H107" s="48"/>
      <c r="I107" s="48"/>
      <c r="J107" s="48"/>
      <c r="K107" s="48"/>
      <c r="L107" s="48"/>
      <c r="M107" s="48"/>
      <c r="N107" s="48"/>
      <c r="O107" s="48"/>
    </row>
    <row r="108" spans="2:15" s="46" customFormat="1" ht="15" customHeight="1">
      <c r="B108" s="47"/>
      <c r="C108" s="48"/>
      <c r="D108" s="48"/>
      <c r="E108" s="48"/>
      <c r="F108" s="48"/>
      <c r="G108" s="48"/>
      <c r="H108" s="48"/>
      <c r="I108" s="48"/>
      <c r="J108" s="48"/>
      <c r="K108" s="48"/>
      <c r="L108" s="48"/>
      <c r="M108" s="48"/>
      <c r="N108" s="48"/>
      <c r="O108" s="48"/>
    </row>
    <row r="109" spans="2:15" s="46" customFormat="1" ht="15" customHeight="1">
      <c r="B109" s="47"/>
      <c r="C109" s="48"/>
      <c r="D109" s="48"/>
      <c r="E109" s="48"/>
      <c r="F109" s="48"/>
      <c r="G109" s="48"/>
      <c r="H109" s="48"/>
      <c r="I109" s="48"/>
      <c r="J109" s="48"/>
      <c r="K109" s="48"/>
      <c r="L109" s="48"/>
      <c r="M109" s="48"/>
      <c r="N109" s="48"/>
      <c r="O109" s="48"/>
    </row>
    <row r="110" spans="2:15" s="46" customFormat="1" ht="15" customHeight="1">
      <c r="B110" s="47"/>
      <c r="C110" s="48"/>
      <c r="D110" s="48"/>
      <c r="E110" s="48"/>
      <c r="F110" s="48"/>
      <c r="G110" s="48"/>
      <c r="H110" s="48"/>
      <c r="I110" s="48"/>
      <c r="J110" s="48"/>
      <c r="K110" s="48"/>
      <c r="L110" s="48"/>
      <c r="M110" s="48"/>
      <c r="N110" s="48"/>
      <c r="O110" s="48"/>
    </row>
    <row r="111" spans="2:15" s="46" customFormat="1" ht="15" customHeight="1">
      <c r="B111" s="47"/>
      <c r="C111" s="48"/>
      <c r="D111" s="48"/>
      <c r="E111" s="48"/>
      <c r="F111" s="48"/>
      <c r="G111" s="48"/>
      <c r="H111" s="48"/>
      <c r="I111" s="48"/>
      <c r="J111" s="48"/>
      <c r="K111" s="48"/>
      <c r="L111" s="48"/>
      <c r="M111" s="48"/>
      <c r="N111" s="48"/>
      <c r="O111" s="48"/>
    </row>
    <row r="112" spans="2:15" s="46" customFormat="1" ht="15" customHeight="1">
      <c r="B112" s="47"/>
      <c r="C112" s="48"/>
      <c r="D112" s="48"/>
      <c r="E112" s="48"/>
      <c r="F112" s="48"/>
      <c r="G112" s="48"/>
      <c r="H112" s="48"/>
      <c r="I112" s="48"/>
      <c r="J112" s="48"/>
      <c r="K112" s="48"/>
      <c r="L112" s="48"/>
      <c r="M112" s="48"/>
      <c r="N112" s="48"/>
      <c r="O112" s="48"/>
    </row>
    <row r="113" spans="2:15" s="46" customFormat="1" ht="15" customHeight="1">
      <c r="B113" s="47"/>
      <c r="C113" s="48"/>
      <c r="D113" s="48"/>
      <c r="E113" s="48"/>
      <c r="F113" s="48"/>
      <c r="G113" s="48"/>
      <c r="H113" s="48"/>
      <c r="I113" s="48"/>
      <c r="J113" s="48"/>
      <c r="K113" s="48"/>
      <c r="L113" s="48"/>
      <c r="M113" s="48"/>
      <c r="N113" s="48"/>
      <c r="O113" s="48"/>
    </row>
    <row r="114" spans="2:15" s="46" customFormat="1" ht="15" customHeight="1">
      <c r="B114" s="47"/>
      <c r="C114" s="48"/>
      <c r="D114" s="48"/>
      <c r="E114" s="48"/>
      <c r="F114" s="48"/>
      <c r="G114" s="48"/>
      <c r="H114" s="48"/>
      <c r="I114" s="48"/>
      <c r="J114" s="48"/>
      <c r="K114" s="48"/>
      <c r="L114" s="48"/>
      <c r="M114" s="48"/>
      <c r="N114" s="48"/>
      <c r="O114" s="48"/>
    </row>
    <row r="115" spans="2:15" s="46" customFormat="1" ht="15" customHeight="1">
      <c r="B115" s="47"/>
      <c r="C115" s="48"/>
      <c r="D115" s="48"/>
      <c r="E115" s="48"/>
      <c r="F115" s="48"/>
      <c r="G115" s="48"/>
      <c r="H115" s="48"/>
      <c r="I115" s="48"/>
      <c r="J115" s="48"/>
      <c r="K115" s="48"/>
      <c r="L115" s="48"/>
      <c r="M115" s="48"/>
      <c r="N115" s="48"/>
      <c r="O115" s="48"/>
    </row>
    <row r="116" spans="2:15" s="46" customFormat="1" ht="15" customHeight="1">
      <c r="B116" s="47"/>
      <c r="C116" s="48"/>
      <c r="D116" s="48"/>
      <c r="E116" s="48"/>
      <c r="F116" s="48"/>
      <c r="G116" s="48"/>
      <c r="H116" s="48"/>
      <c r="I116" s="48"/>
      <c r="J116" s="48"/>
      <c r="K116" s="48"/>
      <c r="L116" s="48"/>
      <c r="M116" s="48"/>
      <c r="N116" s="48"/>
      <c r="O116" s="48"/>
    </row>
    <row r="117" spans="2:15" s="46" customFormat="1" ht="15" customHeight="1">
      <c r="B117" s="47"/>
      <c r="C117" s="48"/>
      <c r="D117" s="48"/>
      <c r="E117" s="48"/>
      <c r="F117" s="48"/>
      <c r="G117" s="48"/>
      <c r="H117" s="48"/>
      <c r="I117" s="48"/>
      <c r="J117" s="48"/>
      <c r="K117" s="48"/>
      <c r="L117" s="48"/>
      <c r="M117" s="48"/>
      <c r="N117" s="48"/>
      <c r="O117" s="48"/>
    </row>
    <row r="118" spans="2:15" s="46" customFormat="1" ht="15" customHeight="1">
      <c r="B118" s="47"/>
      <c r="C118" s="48"/>
      <c r="D118" s="48"/>
      <c r="E118" s="48"/>
      <c r="F118" s="48"/>
      <c r="G118" s="48"/>
      <c r="H118" s="48"/>
      <c r="I118" s="48"/>
      <c r="J118" s="48"/>
      <c r="K118" s="48"/>
      <c r="L118" s="48"/>
      <c r="M118" s="48"/>
      <c r="N118" s="48"/>
      <c r="O118" s="48"/>
    </row>
    <row r="119" spans="2:15" s="46" customFormat="1" ht="15" customHeight="1">
      <c r="B119" s="47"/>
      <c r="C119" s="48"/>
      <c r="D119" s="48"/>
      <c r="E119" s="48"/>
      <c r="F119" s="48"/>
      <c r="G119" s="48"/>
      <c r="H119" s="48"/>
      <c r="I119" s="48"/>
      <c r="J119" s="48"/>
      <c r="K119" s="48"/>
      <c r="L119" s="48"/>
      <c r="M119" s="48"/>
      <c r="N119" s="48"/>
      <c r="O119" s="48"/>
    </row>
    <row r="120" spans="2:15" s="46" customFormat="1" ht="15" customHeight="1">
      <c r="B120" s="47"/>
      <c r="C120" s="48"/>
      <c r="D120" s="48"/>
      <c r="E120" s="48"/>
      <c r="F120" s="48"/>
      <c r="G120" s="48"/>
      <c r="H120" s="48"/>
      <c r="I120" s="48"/>
      <c r="J120" s="48"/>
      <c r="K120" s="48"/>
      <c r="L120" s="48"/>
      <c r="M120" s="48"/>
      <c r="N120" s="48"/>
      <c r="O120" s="48"/>
    </row>
    <row r="121" spans="2:15" s="46" customFormat="1" ht="15" customHeight="1">
      <c r="B121" s="47"/>
      <c r="C121" s="48"/>
      <c r="D121" s="48"/>
      <c r="E121" s="48"/>
      <c r="F121" s="48"/>
      <c r="G121" s="48"/>
      <c r="H121" s="48"/>
      <c r="I121" s="48"/>
      <c r="J121" s="48"/>
      <c r="K121" s="48"/>
      <c r="L121" s="48"/>
      <c r="M121" s="48"/>
      <c r="N121" s="48"/>
      <c r="O121" s="48"/>
    </row>
    <row r="122" spans="2:15" s="46" customFormat="1" ht="15" customHeight="1">
      <c r="B122" s="47"/>
      <c r="C122" s="48"/>
      <c r="D122" s="48"/>
      <c r="E122" s="48"/>
      <c r="F122" s="48"/>
      <c r="G122" s="48"/>
      <c r="H122" s="48"/>
      <c r="I122" s="48"/>
      <c r="J122" s="48"/>
      <c r="K122" s="48"/>
      <c r="L122" s="48"/>
      <c r="M122" s="48"/>
      <c r="N122" s="48"/>
      <c r="O122" s="48"/>
    </row>
    <row r="123" spans="2:15" s="46" customFormat="1" ht="15" customHeight="1">
      <c r="B123" s="47"/>
      <c r="C123" s="48"/>
      <c r="D123" s="48"/>
      <c r="E123" s="48"/>
      <c r="F123" s="48"/>
      <c r="G123" s="48"/>
      <c r="H123" s="48"/>
      <c r="I123" s="48"/>
      <c r="J123" s="48"/>
      <c r="K123" s="48"/>
      <c r="L123" s="48"/>
      <c r="M123" s="48"/>
      <c r="N123" s="48"/>
      <c r="O123" s="48"/>
    </row>
    <row r="124" spans="2:15" s="46" customFormat="1" ht="15" customHeight="1">
      <c r="B124" s="47"/>
      <c r="C124" s="48"/>
      <c r="D124" s="48"/>
      <c r="E124" s="48"/>
      <c r="F124" s="48"/>
      <c r="G124" s="48"/>
      <c r="H124" s="48"/>
      <c r="I124" s="48"/>
      <c r="J124" s="48"/>
      <c r="K124" s="48"/>
      <c r="L124" s="48"/>
      <c r="M124" s="48"/>
      <c r="N124" s="48"/>
      <c r="O124" s="48"/>
    </row>
    <row r="125" spans="2:15" s="46" customFormat="1" ht="15" customHeight="1">
      <c r="B125" s="47"/>
      <c r="C125" s="48"/>
      <c r="D125" s="48"/>
      <c r="E125" s="48"/>
      <c r="F125" s="48"/>
      <c r="G125" s="48"/>
      <c r="H125" s="48"/>
      <c r="I125" s="48"/>
      <c r="J125" s="48"/>
      <c r="K125" s="48"/>
      <c r="L125" s="48"/>
      <c r="M125" s="48"/>
      <c r="N125" s="48"/>
      <c r="O125" s="48"/>
    </row>
    <row r="126" spans="2:15" s="46" customFormat="1" ht="15" customHeight="1">
      <c r="B126" s="47"/>
      <c r="C126" s="48"/>
      <c r="D126" s="48"/>
      <c r="E126" s="48"/>
      <c r="F126" s="48"/>
      <c r="G126" s="48"/>
      <c r="H126" s="48"/>
      <c r="I126" s="48"/>
      <c r="J126" s="48"/>
      <c r="K126" s="48"/>
      <c r="L126" s="48"/>
      <c r="M126" s="48"/>
      <c r="N126" s="48"/>
      <c r="O126" s="48"/>
    </row>
    <row r="127" spans="2:15" s="46" customFormat="1" ht="15" customHeight="1">
      <c r="B127" s="47"/>
      <c r="C127" s="48"/>
      <c r="D127" s="48"/>
      <c r="E127" s="48"/>
      <c r="F127" s="48"/>
      <c r="G127" s="48"/>
      <c r="H127" s="48"/>
      <c r="I127" s="48"/>
      <c r="J127" s="48"/>
      <c r="K127" s="48"/>
      <c r="L127" s="48"/>
      <c r="M127" s="48"/>
      <c r="N127" s="48"/>
      <c r="O127" s="48"/>
    </row>
    <row r="128" spans="2:15" s="46" customFormat="1" ht="15" customHeight="1">
      <c r="B128" s="47"/>
      <c r="C128" s="48"/>
      <c r="D128" s="48"/>
      <c r="E128" s="48"/>
      <c r="F128" s="48"/>
      <c r="G128" s="48"/>
      <c r="H128" s="48"/>
      <c r="I128" s="48"/>
      <c r="J128" s="48"/>
      <c r="K128" s="48"/>
      <c r="L128" s="48"/>
      <c r="M128" s="48"/>
      <c r="N128" s="48"/>
      <c r="O128" s="48"/>
    </row>
    <row r="129" spans="2:15" s="46" customFormat="1" ht="15" customHeight="1">
      <c r="B129" s="47"/>
      <c r="C129" s="48"/>
      <c r="D129" s="48"/>
      <c r="E129" s="48"/>
      <c r="F129" s="48"/>
      <c r="G129" s="48"/>
      <c r="H129" s="48"/>
      <c r="I129" s="48"/>
      <c r="J129" s="48"/>
      <c r="K129" s="48"/>
      <c r="L129" s="48"/>
      <c r="M129" s="48"/>
      <c r="N129" s="48"/>
      <c r="O129" s="48"/>
    </row>
    <row r="130" spans="2:15" s="46" customFormat="1" ht="15" customHeight="1">
      <c r="B130" s="47"/>
      <c r="C130" s="48"/>
      <c r="D130" s="48"/>
      <c r="E130" s="48"/>
      <c r="F130" s="48"/>
      <c r="G130" s="48"/>
      <c r="H130" s="48"/>
      <c r="I130" s="48"/>
      <c r="J130" s="48"/>
      <c r="K130" s="48"/>
      <c r="L130" s="48"/>
      <c r="M130" s="48"/>
      <c r="N130" s="48"/>
      <c r="O130" s="48"/>
    </row>
    <row r="131" spans="2:15" s="46" customFormat="1" ht="15" customHeight="1">
      <c r="B131" s="47"/>
      <c r="C131" s="48"/>
      <c r="D131" s="48"/>
      <c r="E131" s="48"/>
      <c r="F131" s="48"/>
      <c r="G131" s="48"/>
      <c r="H131" s="48"/>
      <c r="I131" s="48"/>
      <c r="J131" s="48"/>
      <c r="K131" s="48"/>
      <c r="L131" s="48"/>
      <c r="M131" s="48"/>
      <c r="N131" s="48"/>
      <c r="O131" s="48"/>
    </row>
    <row r="132" spans="2:15" s="46" customFormat="1" ht="15" customHeight="1">
      <c r="B132" s="47"/>
      <c r="C132" s="48"/>
      <c r="D132" s="48"/>
      <c r="E132" s="48"/>
      <c r="F132" s="48"/>
      <c r="G132" s="48"/>
      <c r="H132" s="48"/>
      <c r="I132" s="48"/>
      <c r="J132" s="48"/>
      <c r="K132" s="48"/>
      <c r="L132" s="48"/>
      <c r="M132" s="48"/>
      <c r="N132" s="48"/>
      <c r="O132" s="48"/>
    </row>
    <row r="133" spans="2:15" s="46" customFormat="1" ht="15" customHeight="1">
      <c r="B133" s="47"/>
      <c r="C133" s="48"/>
      <c r="D133" s="48"/>
      <c r="E133" s="48"/>
      <c r="F133" s="48"/>
      <c r="G133" s="48"/>
      <c r="H133" s="48"/>
      <c r="I133" s="48"/>
      <c r="J133" s="48"/>
      <c r="K133" s="48"/>
      <c r="L133" s="48"/>
      <c r="M133" s="48"/>
      <c r="N133" s="48"/>
      <c r="O133" s="48"/>
    </row>
    <row r="134" spans="2:15" s="46" customFormat="1" ht="15" customHeight="1">
      <c r="B134" s="47"/>
      <c r="C134" s="48"/>
      <c r="D134" s="48"/>
      <c r="E134" s="48"/>
      <c r="F134" s="48"/>
      <c r="G134" s="48"/>
      <c r="H134" s="48"/>
      <c r="I134" s="48"/>
      <c r="J134" s="48"/>
      <c r="K134" s="48"/>
      <c r="L134" s="48"/>
      <c r="M134" s="48"/>
      <c r="N134" s="48"/>
      <c r="O134" s="48"/>
    </row>
    <row r="135" spans="2:15" s="46" customFormat="1" ht="15" customHeight="1">
      <c r="B135" s="47"/>
      <c r="C135" s="48"/>
      <c r="D135" s="48"/>
      <c r="E135" s="48"/>
      <c r="F135" s="48"/>
      <c r="G135" s="48"/>
      <c r="H135" s="48"/>
      <c r="I135" s="48"/>
      <c r="J135" s="48"/>
      <c r="K135" s="48"/>
      <c r="L135" s="48"/>
      <c r="M135" s="48"/>
      <c r="N135" s="48"/>
      <c r="O135" s="48"/>
    </row>
    <row r="136" spans="2:15" s="46" customFormat="1" ht="15" customHeight="1">
      <c r="B136" s="47"/>
      <c r="C136" s="48"/>
      <c r="D136" s="48"/>
      <c r="E136" s="48"/>
      <c r="F136" s="48"/>
      <c r="G136" s="48"/>
      <c r="H136" s="48"/>
      <c r="I136" s="48"/>
      <c r="J136" s="48"/>
      <c r="K136" s="48"/>
      <c r="L136" s="48"/>
      <c r="M136" s="48"/>
      <c r="N136" s="48"/>
      <c r="O136" s="48"/>
    </row>
    <row r="137" spans="2:15" s="46" customFormat="1" ht="15" customHeight="1">
      <c r="B137" s="47"/>
      <c r="C137" s="48"/>
      <c r="D137" s="48"/>
      <c r="E137" s="48"/>
      <c r="F137" s="48"/>
      <c r="G137" s="48"/>
      <c r="H137" s="48"/>
      <c r="I137" s="48"/>
      <c r="J137" s="48"/>
      <c r="K137" s="48"/>
      <c r="L137" s="48"/>
      <c r="M137" s="48"/>
      <c r="N137" s="48"/>
      <c r="O137" s="48"/>
    </row>
    <row r="138" spans="2:15" s="46" customFormat="1" ht="15" customHeight="1">
      <c r="B138" s="47"/>
      <c r="C138" s="48"/>
      <c r="D138" s="48"/>
      <c r="E138" s="48"/>
      <c r="F138" s="48"/>
      <c r="G138" s="48"/>
      <c r="H138" s="48"/>
      <c r="I138" s="48"/>
      <c r="J138" s="48"/>
      <c r="K138" s="48"/>
      <c r="L138" s="48"/>
      <c r="M138" s="48"/>
      <c r="N138" s="48"/>
      <c r="O138" s="48"/>
    </row>
    <row r="139" spans="2:15" s="46" customFormat="1" ht="15" customHeight="1">
      <c r="B139" s="47"/>
      <c r="C139" s="48"/>
      <c r="D139" s="48"/>
      <c r="E139" s="48"/>
      <c r="F139" s="48"/>
      <c r="G139" s="48"/>
      <c r="H139" s="48"/>
      <c r="I139" s="48"/>
      <c r="J139" s="48"/>
      <c r="K139" s="48"/>
      <c r="L139" s="48"/>
      <c r="M139" s="48"/>
      <c r="N139" s="48"/>
      <c r="O139" s="48"/>
    </row>
    <row r="140" spans="2:15" s="46" customFormat="1" ht="15" customHeight="1">
      <c r="B140" s="47"/>
      <c r="C140" s="48"/>
      <c r="D140" s="48"/>
      <c r="E140" s="48"/>
      <c r="F140" s="48"/>
      <c r="G140" s="48"/>
      <c r="H140" s="48"/>
      <c r="I140" s="48"/>
      <c r="J140" s="48"/>
      <c r="K140" s="48"/>
      <c r="L140" s="48"/>
      <c r="M140" s="48"/>
      <c r="N140" s="48"/>
      <c r="O140" s="48"/>
    </row>
    <row r="141" spans="2:15" s="46" customFormat="1" ht="15" customHeight="1">
      <c r="B141" s="47"/>
      <c r="C141" s="48"/>
      <c r="D141" s="48"/>
      <c r="E141" s="48"/>
      <c r="F141" s="48"/>
      <c r="G141" s="48"/>
      <c r="H141" s="48"/>
      <c r="I141" s="48"/>
      <c r="J141" s="48"/>
      <c r="K141" s="48"/>
      <c r="L141" s="48"/>
      <c r="M141" s="48"/>
      <c r="N141" s="48"/>
      <c r="O141" s="48"/>
    </row>
    <row r="142" spans="2:15" s="46" customFormat="1" ht="15" customHeight="1">
      <c r="B142" s="47"/>
      <c r="C142" s="48"/>
      <c r="D142" s="48"/>
      <c r="E142" s="48"/>
      <c r="F142" s="48"/>
      <c r="G142" s="48"/>
      <c r="H142" s="48"/>
      <c r="I142" s="48"/>
      <c r="J142" s="48"/>
      <c r="K142" s="48"/>
      <c r="L142" s="48"/>
      <c r="M142" s="48"/>
      <c r="N142" s="48"/>
      <c r="O142" s="48"/>
    </row>
    <row r="143" spans="2:15" s="46" customFormat="1" ht="15" customHeight="1">
      <c r="B143" s="47"/>
      <c r="C143" s="48"/>
      <c r="D143" s="48"/>
      <c r="E143" s="48"/>
      <c r="F143" s="48"/>
      <c r="G143" s="48"/>
      <c r="H143" s="48"/>
      <c r="I143" s="48"/>
      <c r="J143" s="48"/>
      <c r="K143" s="48"/>
      <c r="L143" s="48"/>
      <c r="M143" s="48"/>
      <c r="N143" s="48"/>
      <c r="O143" s="48"/>
    </row>
    <row r="144" spans="2:15" s="46" customFormat="1" ht="15" customHeight="1">
      <c r="B144" s="47"/>
      <c r="C144" s="48"/>
      <c r="D144" s="48"/>
      <c r="E144" s="48"/>
      <c r="F144" s="48"/>
      <c r="G144" s="48"/>
      <c r="H144" s="48"/>
      <c r="I144" s="48"/>
      <c r="J144" s="48"/>
      <c r="K144" s="48"/>
      <c r="L144" s="48"/>
      <c r="M144" s="48"/>
      <c r="N144" s="48"/>
      <c r="O144" s="48"/>
    </row>
    <row r="145" spans="2:15" s="46" customFormat="1" ht="15" customHeight="1">
      <c r="B145" s="47"/>
      <c r="C145" s="48"/>
      <c r="D145" s="48"/>
      <c r="E145" s="48"/>
      <c r="F145" s="48"/>
      <c r="G145" s="48"/>
      <c r="H145" s="48"/>
      <c r="I145" s="48"/>
      <c r="J145" s="48"/>
      <c r="K145" s="48"/>
      <c r="L145" s="48"/>
      <c r="M145" s="48"/>
      <c r="N145" s="48"/>
      <c r="O145" s="48"/>
    </row>
    <row r="146" spans="2:15" s="46" customFormat="1" ht="15" customHeight="1">
      <c r="B146" s="47"/>
      <c r="C146" s="48"/>
      <c r="D146" s="48"/>
      <c r="E146" s="48"/>
      <c r="F146" s="48"/>
      <c r="G146" s="48"/>
      <c r="H146" s="48"/>
      <c r="I146" s="48"/>
      <c r="J146" s="48"/>
      <c r="K146" s="48"/>
      <c r="L146" s="48"/>
      <c r="M146" s="48"/>
      <c r="N146" s="48"/>
      <c r="O146" s="48"/>
    </row>
    <row r="147" spans="2:15" s="46" customFormat="1" ht="15" customHeight="1">
      <c r="B147" s="47"/>
      <c r="C147" s="48"/>
      <c r="D147" s="48"/>
      <c r="E147" s="48"/>
      <c r="F147" s="48"/>
      <c r="G147" s="48"/>
      <c r="H147" s="48"/>
      <c r="I147" s="48"/>
      <c r="J147" s="48"/>
      <c r="K147" s="48"/>
      <c r="L147" s="48"/>
      <c r="M147" s="48"/>
      <c r="N147" s="48"/>
      <c r="O147" s="48"/>
    </row>
    <row r="148" spans="2:15" s="46" customFormat="1" ht="15" customHeight="1">
      <c r="B148" s="47"/>
      <c r="C148" s="48"/>
      <c r="D148" s="48"/>
      <c r="E148" s="48"/>
      <c r="F148" s="48"/>
      <c r="G148" s="48"/>
      <c r="H148" s="48"/>
      <c r="I148" s="48"/>
      <c r="J148" s="48"/>
      <c r="K148" s="48"/>
      <c r="L148" s="48"/>
      <c r="M148" s="48"/>
      <c r="N148" s="48"/>
      <c r="O148" s="48"/>
    </row>
    <row r="149" spans="2:15" s="46" customFormat="1" ht="15" customHeight="1">
      <c r="B149" s="47"/>
      <c r="C149" s="48"/>
      <c r="D149" s="48"/>
      <c r="E149" s="48"/>
      <c r="F149" s="48"/>
      <c r="G149" s="48"/>
      <c r="H149" s="48"/>
      <c r="I149" s="48"/>
      <c r="J149" s="48"/>
      <c r="K149" s="48"/>
      <c r="L149" s="48"/>
      <c r="M149" s="48"/>
      <c r="N149" s="48"/>
      <c r="O149" s="48"/>
    </row>
    <row r="150" spans="2:15" s="46" customFormat="1" ht="15" customHeight="1">
      <c r="B150" s="47"/>
      <c r="C150" s="48"/>
      <c r="D150" s="48"/>
      <c r="E150" s="48"/>
      <c r="F150" s="48"/>
      <c r="G150" s="48"/>
      <c r="H150" s="48"/>
      <c r="I150" s="48"/>
      <c r="J150" s="48"/>
      <c r="K150" s="48"/>
      <c r="L150" s="48"/>
      <c r="M150" s="48"/>
      <c r="N150" s="48"/>
      <c r="O150" s="48"/>
    </row>
    <row r="151" spans="2:15" s="46" customFormat="1" ht="15" customHeight="1">
      <c r="B151" s="47"/>
      <c r="C151" s="48"/>
      <c r="D151" s="48"/>
      <c r="E151" s="48"/>
      <c r="F151" s="48"/>
      <c r="G151" s="48"/>
      <c r="H151" s="48"/>
      <c r="I151" s="48"/>
      <c r="J151" s="48"/>
      <c r="K151" s="48"/>
      <c r="L151" s="48"/>
      <c r="M151" s="48"/>
      <c r="N151" s="48"/>
      <c r="O151" s="48"/>
    </row>
    <row r="152" spans="2:15" s="46" customFormat="1" ht="15" customHeight="1">
      <c r="B152" s="47"/>
      <c r="C152" s="48"/>
      <c r="D152" s="48"/>
      <c r="E152" s="48"/>
      <c r="F152" s="48"/>
      <c r="G152" s="48"/>
      <c r="H152" s="48"/>
      <c r="I152" s="48"/>
      <c r="J152" s="48"/>
      <c r="K152" s="48"/>
      <c r="L152" s="48"/>
      <c r="M152" s="48"/>
      <c r="N152" s="48"/>
      <c r="O152" s="48"/>
    </row>
    <row r="153" spans="2:15" s="46" customFormat="1" ht="15" customHeight="1">
      <c r="B153" s="47"/>
      <c r="C153" s="48"/>
      <c r="D153" s="48"/>
      <c r="E153" s="48"/>
      <c r="F153" s="48"/>
      <c r="G153" s="48"/>
      <c r="H153" s="48"/>
      <c r="I153" s="48"/>
      <c r="J153" s="48"/>
      <c r="K153" s="48"/>
      <c r="L153" s="48"/>
      <c r="M153" s="48"/>
      <c r="N153" s="48"/>
      <c r="O153" s="48"/>
    </row>
    <row r="154" spans="2:15" s="46" customFormat="1" ht="15" customHeight="1">
      <c r="B154" s="47"/>
      <c r="C154" s="48"/>
      <c r="D154" s="48"/>
      <c r="E154" s="48"/>
      <c r="F154" s="48"/>
      <c r="G154" s="48"/>
      <c r="H154" s="48"/>
      <c r="I154" s="48"/>
      <c r="J154" s="48"/>
      <c r="K154" s="48"/>
      <c r="L154" s="48"/>
      <c r="M154" s="48"/>
      <c r="N154" s="48"/>
      <c r="O154" s="48"/>
    </row>
    <row r="155" spans="2:15" s="46" customFormat="1" ht="15" customHeight="1">
      <c r="B155" s="47"/>
      <c r="C155" s="48"/>
      <c r="D155" s="48"/>
      <c r="E155" s="48"/>
      <c r="F155" s="48"/>
      <c r="G155" s="48"/>
      <c r="H155" s="48"/>
      <c r="I155" s="48"/>
      <c r="J155" s="48"/>
      <c r="K155" s="48"/>
      <c r="L155" s="48"/>
      <c r="M155" s="48"/>
      <c r="N155" s="48"/>
      <c r="O155" s="48"/>
    </row>
    <row r="156" spans="2:15" s="46" customFormat="1" ht="15" customHeight="1">
      <c r="B156" s="47"/>
      <c r="C156" s="48"/>
      <c r="D156" s="48"/>
      <c r="E156" s="48"/>
      <c r="F156" s="48"/>
      <c r="G156" s="48"/>
      <c r="H156" s="48"/>
      <c r="I156" s="48"/>
      <c r="J156" s="48"/>
      <c r="K156" s="48"/>
      <c r="L156" s="48"/>
      <c r="M156" s="48"/>
      <c r="N156" s="48"/>
      <c r="O156" s="48"/>
    </row>
    <row r="157" spans="2:15" s="46" customFormat="1" ht="15" customHeight="1">
      <c r="B157" s="47"/>
      <c r="C157" s="48"/>
      <c r="D157" s="48"/>
      <c r="E157" s="48"/>
      <c r="F157" s="48"/>
      <c r="G157" s="48"/>
      <c r="H157" s="48"/>
      <c r="I157" s="48"/>
      <c r="J157" s="48"/>
      <c r="K157" s="48"/>
      <c r="L157" s="48"/>
      <c r="M157" s="48"/>
      <c r="N157" s="48"/>
      <c r="O157" s="48"/>
    </row>
    <row r="158" spans="2:15" s="46" customFormat="1" ht="15" customHeight="1">
      <c r="B158" s="47"/>
      <c r="C158" s="48"/>
      <c r="D158" s="48"/>
      <c r="E158" s="48"/>
      <c r="F158" s="48"/>
      <c r="G158" s="48"/>
      <c r="H158" s="48"/>
      <c r="I158" s="48"/>
      <c r="J158" s="48"/>
      <c r="K158" s="48"/>
      <c r="L158" s="48"/>
      <c r="M158" s="48"/>
      <c r="N158" s="48"/>
      <c r="O158" s="48"/>
    </row>
    <row r="159" spans="2:15" s="46" customFormat="1" ht="15" customHeight="1">
      <c r="B159" s="47"/>
      <c r="C159" s="48"/>
      <c r="D159" s="48"/>
      <c r="E159" s="48"/>
      <c r="F159" s="48"/>
      <c r="G159" s="48"/>
      <c r="H159" s="48"/>
      <c r="I159" s="48"/>
      <c r="J159" s="48"/>
      <c r="K159" s="48"/>
      <c r="L159" s="48"/>
      <c r="M159" s="48"/>
      <c r="N159" s="48"/>
      <c r="O159" s="48"/>
    </row>
    <row r="160" spans="2:15" s="46" customFormat="1" ht="15" customHeight="1">
      <c r="B160" s="47"/>
      <c r="C160" s="48"/>
      <c r="D160" s="48"/>
      <c r="E160" s="48"/>
      <c r="F160" s="48"/>
      <c r="G160" s="48"/>
      <c r="H160" s="48"/>
      <c r="I160" s="48"/>
      <c r="J160" s="48"/>
      <c r="K160" s="48"/>
      <c r="L160" s="48"/>
      <c r="M160" s="48"/>
      <c r="N160" s="48"/>
      <c r="O160" s="48"/>
    </row>
    <row r="161" spans="2:15" s="46" customFormat="1" ht="15" customHeight="1">
      <c r="B161" s="47"/>
      <c r="C161" s="48"/>
      <c r="D161" s="48"/>
      <c r="E161" s="48"/>
      <c r="F161" s="48"/>
      <c r="G161" s="48"/>
      <c r="H161" s="48"/>
      <c r="I161" s="48"/>
      <c r="J161" s="48"/>
      <c r="K161" s="48"/>
      <c r="L161" s="48"/>
      <c r="M161" s="48"/>
      <c r="N161" s="48"/>
      <c r="O161" s="48"/>
    </row>
    <row r="162" spans="2:15" s="46" customFormat="1" ht="15" customHeight="1">
      <c r="B162" s="47"/>
      <c r="C162" s="48"/>
      <c r="D162" s="48"/>
      <c r="E162" s="48"/>
      <c r="F162" s="48"/>
      <c r="G162" s="48"/>
      <c r="H162" s="48"/>
      <c r="I162" s="48"/>
      <c r="J162" s="48"/>
      <c r="K162" s="48"/>
      <c r="L162" s="48"/>
      <c r="M162" s="48"/>
      <c r="N162" s="48"/>
      <c r="O162" s="48"/>
    </row>
    <row r="163" spans="2:15" s="46" customFormat="1" ht="15" customHeight="1">
      <c r="B163" s="47"/>
      <c r="C163" s="48"/>
      <c r="D163" s="48"/>
      <c r="E163" s="48"/>
      <c r="F163" s="48"/>
      <c r="G163" s="48"/>
      <c r="H163" s="48"/>
      <c r="I163" s="48"/>
      <c r="J163" s="48"/>
      <c r="K163" s="48"/>
      <c r="L163" s="48"/>
      <c r="M163" s="48"/>
      <c r="N163" s="48"/>
      <c r="O163" s="48"/>
    </row>
    <row r="164" spans="2:15" s="46" customFormat="1" ht="15" customHeight="1">
      <c r="B164" s="47"/>
      <c r="C164" s="48"/>
      <c r="D164" s="48"/>
      <c r="E164" s="48"/>
      <c r="F164" s="48"/>
      <c r="G164" s="48"/>
      <c r="H164" s="48"/>
      <c r="I164" s="48"/>
      <c r="J164" s="48"/>
      <c r="K164" s="48"/>
      <c r="L164" s="48"/>
      <c r="M164" s="48"/>
      <c r="N164" s="48"/>
      <c r="O164" s="48"/>
    </row>
    <row r="165" spans="2:15" s="46" customFormat="1" ht="15" customHeight="1">
      <c r="B165" s="47"/>
      <c r="C165" s="48"/>
      <c r="D165" s="48"/>
      <c r="E165" s="48"/>
      <c r="F165" s="48"/>
      <c r="G165" s="48"/>
      <c r="H165" s="48"/>
      <c r="I165" s="48"/>
      <c r="J165" s="48"/>
      <c r="K165" s="48"/>
      <c r="L165" s="48"/>
      <c r="M165" s="48"/>
      <c r="N165" s="48"/>
      <c r="O165" s="48"/>
    </row>
    <row r="166" spans="2:15" s="46" customFormat="1" ht="15" customHeight="1">
      <c r="B166" s="47"/>
      <c r="C166" s="48"/>
      <c r="D166" s="48"/>
      <c r="E166" s="48"/>
      <c r="F166" s="48"/>
      <c r="G166" s="48"/>
      <c r="H166" s="48"/>
      <c r="I166" s="48"/>
      <c r="J166" s="48"/>
      <c r="K166" s="48"/>
      <c r="L166" s="48"/>
      <c r="M166" s="48"/>
      <c r="N166" s="48"/>
      <c r="O166" s="48"/>
    </row>
    <row r="167" spans="2:15" s="46" customFormat="1" ht="15" customHeight="1">
      <c r="B167" s="47"/>
      <c r="C167" s="48"/>
      <c r="D167" s="48"/>
      <c r="E167" s="48"/>
      <c r="F167" s="48"/>
      <c r="G167" s="48"/>
      <c r="H167" s="48"/>
      <c r="I167" s="48"/>
      <c r="J167" s="48"/>
      <c r="K167" s="48"/>
      <c r="L167" s="48"/>
      <c r="M167" s="48"/>
      <c r="N167" s="48"/>
      <c r="O167" s="48"/>
    </row>
    <row r="168" spans="2:15" s="46" customFormat="1" ht="15" customHeight="1">
      <c r="B168" s="47"/>
      <c r="C168" s="48"/>
      <c r="D168" s="48"/>
      <c r="E168" s="48"/>
      <c r="F168" s="48"/>
      <c r="G168" s="48"/>
      <c r="H168" s="48"/>
      <c r="I168" s="48"/>
      <c r="J168" s="48"/>
      <c r="K168" s="48"/>
      <c r="L168" s="48"/>
      <c r="M168" s="48"/>
      <c r="N168" s="48"/>
      <c r="O168" s="48"/>
    </row>
    <row r="169" spans="2:15" s="46" customFormat="1" ht="15" customHeight="1">
      <c r="B169" s="47"/>
      <c r="C169" s="48"/>
      <c r="D169" s="48"/>
      <c r="E169" s="48"/>
      <c r="F169" s="48"/>
      <c r="G169" s="48"/>
      <c r="H169" s="48"/>
      <c r="I169" s="48"/>
      <c r="J169" s="48"/>
      <c r="K169" s="48"/>
      <c r="L169" s="48"/>
      <c r="M169" s="48"/>
      <c r="N169" s="48"/>
      <c r="O169" s="48"/>
    </row>
    <row r="170" spans="2:15" s="46" customFormat="1" ht="15" customHeight="1">
      <c r="B170" s="47"/>
      <c r="C170" s="48"/>
      <c r="D170" s="48"/>
      <c r="E170" s="48"/>
      <c r="F170" s="48"/>
      <c r="G170" s="48"/>
      <c r="H170" s="48"/>
      <c r="I170" s="48"/>
      <c r="J170" s="48"/>
      <c r="K170" s="48"/>
      <c r="L170" s="48"/>
      <c r="M170" s="48"/>
      <c r="N170" s="48"/>
      <c r="O170" s="48"/>
    </row>
    <row r="171" spans="2:15" s="46" customFormat="1" ht="15" customHeight="1">
      <c r="B171" s="47"/>
      <c r="C171" s="48"/>
      <c r="D171" s="48"/>
      <c r="E171" s="48"/>
      <c r="F171" s="48"/>
      <c r="G171" s="48"/>
      <c r="H171" s="48"/>
      <c r="I171" s="48"/>
      <c r="J171" s="48"/>
      <c r="K171" s="48"/>
      <c r="L171" s="48"/>
      <c r="M171" s="48"/>
      <c r="N171" s="48"/>
      <c r="O171" s="48"/>
    </row>
    <row r="172" spans="2:15" s="46" customFormat="1" ht="15" customHeight="1">
      <c r="B172" s="47"/>
      <c r="C172" s="48"/>
      <c r="D172" s="48"/>
      <c r="E172" s="48"/>
      <c r="F172" s="48"/>
      <c r="G172" s="48"/>
      <c r="H172" s="48"/>
      <c r="I172" s="48"/>
      <c r="J172" s="48"/>
      <c r="K172" s="48"/>
      <c r="L172" s="48"/>
      <c r="M172" s="48"/>
      <c r="N172" s="48"/>
      <c r="O172" s="48"/>
    </row>
    <row r="173" spans="2:15" s="46" customFormat="1" ht="15" customHeight="1">
      <c r="B173" s="47"/>
      <c r="C173" s="48"/>
      <c r="D173" s="48"/>
      <c r="E173" s="48"/>
      <c r="F173" s="48"/>
      <c r="G173" s="48"/>
      <c r="H173" s="48"/>
      <c r="I173" s="48"/>
      <c r="J173" s="48"/>
      <c r="K173" s="48"/>
      <c r="L173" s="48"/>
      <c r="M173" s="48"/>
      <c r="N173" s="48"/>
      <c r="O173" s="48"/>
    </row>
    <row r="174" spans="2:15" s="46" customFormat="1" ht="15" customHeight="1">
      <c r="B174" s="47"/>
      <c r="C174" s="48"/>
      <c r="D174" s="48"/>
      <c r="E174" s="48"/>
      <c r="F174" s="48"/>
      <c r="G174" s="48"/>
      <c r="H174" s="48"/>
      <c r="I174" s="48"/>
      <c r="J174" s="48"/>
      <c r="K174" s="48"/>
      <c r="L174" s="48"/>
      <c r="M174" s="48"/>
      <c r="N174" s="48"/>
      <c r="O174" s="48"/>
    </row>
    <row r="175" spans="2:15" s="46" customFormat="1" ht="15" customHeight="1">
      <c r="B175" s="47"/>
      <c r="C175" s="48"/>
      <c r="D175" s="48"/>
      <c r="E175" s="48"/>
      <c r="F175" s="48"/>
      <c r="G175" s="48"/>
      <c r="H175" s="48"/>
      <c r="I175" s="48"/>
      <c r="J175" s="48"/>
      <c r="K175" s="48"/>
      <c r="L175" s="48"/>
      <c r="M175" s="48"/>
      <c r="N175" s="48"/>
      <c r="O175" s="48"/>
    </row>
    <row r="176" spans="2:15" s="46" customFormat="1" ht="15" customHeight="1">
      <c r="B176" s="47"/>
      <c r="C176" s="48"/>
      <c r="D176" s="48"/>
      <c r="E176" s="48"/>
      <c r="F176" s="48"/>
      <c r="G176" s="48"/>
      <c r="H176" s="48"/>
      <c r="I176" s="48"/>
      <c r="J176" s="48"/>
      <c r="K176" s="48"/>
      <c r="L176" s="48"/>
      <c r="M176" s="48"/>
      <c r="N176" s="48"/>
      <c r="O176" s="48"/>
    </row>
    <row r="177" spans="2:15" s="46" customFormat="1" ht="15" customHeight="1">
      <c r="B177" s="47"/>
      <c r="C177" s="48"/>
      <c r="D177" s="48"/>
      <c r="E177" s="48"/>
      <c r="F177" s="48"/>
      <c r="G177" s="48"/>
      <c r="H177" s="48"/>
      <c r="I177" s="48"/>
      <c r="J177" s="48"/>
      <c r="K177" s="48"/>
      <c r="L177" s="48"/>
      <c r="M177" s="48"/>
      <c r="N177" s="48"/>
      <c r="O177" s="48"/>
    </row>
    <row r="178" spans="2:15" s="46" customFormat="1" ht="15" customHeight="1">
      <c r="B178" s="47"/>
      <c r="C178" s="48"/>
      <c r="D178" s="48"/>
      <c r="E178" s="48"/>
      <c r="F178" s="48"/>
      <c r="G178" s="48"/>
      <c r="H178" s="48"/>
      <c r="I178" s="48"/>
      <c r="J178" s="48"/>
      <c r="K178" s="48"/>
      <c r="L178" s="48"/>
      <c r="M178" s="48"/>
      <c r="N178" s="48"/>
      <c r="O178" s="48"/>
    </row>
    <row r="179" spans="2:15" s="46" customFormat="1" ht="15" customHeight="1">
      <c r="B179" s="47"/>
      <c r="C179" s="48"/>
      <c r="D179" s="48"/>
      <c r="E179" s="48"/>
      <c r="F179" s="48"/>
      <c r="G179" s="48"/>
      <c r="H179" s="48"/>
      <c r="I179" s="48"/>
      <c r="J179" s="48"/>
      <c r="K179" s="48"/>
      <c r="L179" s="48"/>
      <c r="M179" s="48"/>
      <c r="N179" s="48"/>
      <c r="O179" s="48"/>
    </row>
    <row r="180" spans="2:15" s="46" customFormat="1" ht="15" customHeight="1">
      <c r="B180" s="47"/>
      <c r="C180" s="48"/>
      <c r="D180" s="48"/>
      <c r="E180" s="48"/>
      <c r="F180" s="48"/>
      <c r="G180" s="48"/>
      <c r="H180" s="48"/>
      <c r="I180" s="48"/>
      <c r="J180" s="48"/>
      <c r="K180" s="48"/>
      <c r="L180" s="48"/>
      <c r="M180" s="48"/>
      <c r="N180" s="48"/>
      <c r="O180" s="48"/>
    </row>
    <row r="181" spans="2:15" s="46" customFormat="1" ht="15" customHeight="1">
      <c r="B181" s="47"/>
      <c r="C181" s="48"/>
      <c r="D181" s="48"/>
      <c r="E181" s="48"/>
      <c r="F181" s="48"/>
      <c r="G181" s="48"/>
      <c r="H181" s="48"/>
      <c r="I181" s="48"/>
      <c r="J181" s="48"/>
      <c r="K181" s="48"/>
      <c r="L181" s="48"/>
      <c r="M181" s="48"/>
      <c r="N181" s="48"/>
      <c r="O181" s="48"/>
    </row>
    <row r="182" spans="2:15" s="46" customFormat="1" ht="15" customHeight="1">
      <c r="B182" s="47"/>
      <c r="C182" s="48"/>
      <c r="D182" s="48"/>
      <c r="E182" s="48"/>
      <c r="F182" s="48"/>
      <c r="G182" s="48"/>
      <c r="H182" s="48"/>
      <c r="I182" s="48"/>
      <c r="J182" s="48"/>
      <c r="K182" s="48"/>
      <c r="L182" s="48"/>
      <c r="M182" s="48"/>
      <c r="N182" s="48"/>
      <c r="O182" s="48"/>
    </row>
    <row r="183" spans="2:15" s="46" customFormat="1" ht="15" customHeight="1">
      <c r="B183" s="47"/>
      <c r="C183" s="48"/>
      <c r="D183" s="48"/>
      <c r="E183" s="48"/>
      <c r="F183" s="48"/>
      <c r="G183" s="48"/>
      <c r="H183" s="48"/>
      <c r="I183" s="48"/>
      <c r="J183" s="48"/>
      <c r="K183" s="48"/>
      <c r="L183" s="48"/>
      <c r="M183" s="48"/>
      <c r="N183" s="48"/>
      <c r="O183" s="48"/>
    </row>
    <row r="184" spans="2:15" s="46" customFormat="1" ht="15" customHeight="1">
      <c r="B184" s="47"/>
      <c r="C184" s="48"/>
      <c r="D184" s="48"/>
      <c r="E184" s="48"/>
      <c r="F184" s="48"/>
      <c r="G184" s="48"/>
      <c r="H184" s="48"/>
      <c r="I184" s="48"/>
      <c r="J184" s="48"/>
      <c r="K184" s="48"/>
      <c r="L184" s="48"/>
      <c r="M184" s="48"/>
      <c r="N184" s="48"/>
      <c r="O184" s="48"/>
    </row>
    <row r="185" spans="2:15" s="46" customFormat="1" ht="15" customHeight="1">
      <c r="B185" s="47"/>
      <c r="C185" s="48"/>
      <c r="D185" s="48"/>
      <c r="E185" s="48"/>
      <c r="F185" s="48"/>
      <c r="G185" s="48"/>
      <c r="H185" s="48"/>
      <c r="I185" s="48"/>
      <c r="J185" s="48"/>
      <c r="K185" s="48"/>
      <c r="L185" s="48"/>
      <c r="M185" s="48"/>
      <c r="N185" s="48"/>
      <c r="O185" s="48"/>
    </row>
    <row r="186" spans="2:15" s="46" customFormat="1" ht="15" customHeight="1">
      <c r="B186" s="47"/>
      <c r="C186" s="48"/>
      <c r="D186" s="48"/>
      <c r="E186" s="48"/>
      <c r="F186" s="48"/>
      <c r="G186" s="48"/>
      <c r="H186" s="48"/>
      <c r="I186" s="48"/>
      <c r="J186" s="48"/>
      <c r="K186" s="48"/>
      <c r="L186" s="48"/>
      <c r="M186" s="48"/>
      <c r="N186" s="48"/>
      <c r="O186" s="48"/>
    </row>
    <row r="187" spans="2:15" s="46" customFormat="1" ht="15" customHeight="1">
      <c r="B187" s="47"/>
      <c r="C187" s="48"/>
      <c r="D187" s="48"/>
      <c r="E187" s="48"/>
      <c r="F187" s="48"/>
      <c r="G187" s="48"/>
      <c r="H187" s="48"/>
      <c r="I187" s="48"/>
      <c r="J187" s="48"/>
      <c r="K187" s="48"/>
      <c r="L187" s="48"/>
      <c r="M187" s="48"/>
      <c r="N187" s="48"/>
      <c r="O187" s="48"/>
    </row>
    <row r="188" spans="2:15" s="46" customFormat="1" ht="15" customHeight="1">
      <c r="B188" s="47"/>
      <c r="C188" s="48"/>
      <c r="D188" s="48"/>
      <c r="E188" s="48"/>
      <c r="F188" s="48"/>
      <c r="G188" s="48"/>
      <c r="H188" s="48"/>
      <c r="I188" s="48"/>
      <c r="J188" s="48"/>
      <c r="K188" s="48"/>
      <c r="L188" s="48"/>
      <c r="M188" s="48"/>
      <c r="N188" s="48"/>
      <c r="O188" s="48"/>
    </row>
    <row r="189" spans="2:15" s="46" customFormat="1" ht="15" customHeight="1">
      <c r="B189" s="47"/>
      <c r="C189" s="48"/>
      <c r="D189" s="48"/>
      <c r="E189" s="48"/>
      <c r="F189" s="48"/>
      <c r="G189" s="48"/>
      <c r="H189" s="48"/>
      <c r="I189" s="48"/>
      <c r="J189" s="48"/>
      <c r="K189" s="48"/>
      <c r="L189" s="48"/>
      <c r="M189" s="48"/>
      <c r="N189" s="48"/>
      <c r="O189" s="48"/>
    </row>
    <row r="190" spans="2:15" s="46" customFormat="1" ht="15" customHeight="1">
      <c r="B190" s="47"/>
      <c r="C190" s="48"/>
      <c r="D190" s="48"/>
      <c r="E190" s="48"/>
      <c r="F190" s="48"/>
      <c r="G190" s="48"/>
      <c r="H190" s="48"/>
      <c r="I190" s="48"/>
      <c r="J190" s="48"/>
      <c r="K190" s="48"/>
      <c r="L190" s="48"/>
      <c r="M190" s="48"/>
      <c r="N190" s="48"/>
      <c r="O190" s="48"/>
    </row>
    <row r="191" spans="2:15" s="46" customFormat="1" ht="15" customHeight="1">
      <c r="B191" s="47"/>
      <c r="C191" s="48"/>
      <c r="D191" s="48"/>
      <c r="E191" s="48"/>
      <c r="F191" s="48"/>
      <c r="G191" s="48"/>
      <c r="H191" s="48"/>
      <c r="I191" s="48"/>
      <c r="J191" s="48"/>
      <c r="K191" s="48"/>
      <c r="L191" s="48"/>
      <c r="M191" s="48"/>
      <c r="N191" s="48"/>
      <c r="O191" s="48"/>
    </row>
    <row r="192" spans="2:15" s="46" customFormat="1" ht="15" customHeight="1">
      <c r="B192" s="47"/>
      <c r="C192" s="48"/>
      <c r="D192" s="48"/>
      <c r="E192" s="48"/>
      <c r="F192" s="48"/>
      <c r="G192" s="48"/>
      <c r="H192" s="48"/>
      <c r="I192" s="48"/>
      <c r="J192" s="48"/>
      <c r="K192" s="48"/>
      <c r="L192" s="48"/>
      <c r="M192" s="48"/>
      <c r="N192" s="48"/>
      <c r="O192" s="48"/>
    </row>
    <row r="193" spans="2:15" s="46" customFormat="1" ht="15" customHeight="1">
      <c r="B193" s="47"/>
      <c r="C193" s="48"/>
      <c r="D193" s="48"/>
      <c r="E193" s="48"/>
      <c r="F193" s="48"/>
      <c r="G193" s="48"/>
      <c r="H193" s="48"/>
      <c r="I193" s="48"/>
      <c r="J193" s="48"/>
      <c r="K193" s="48"/>
      <c r="L193" s="48"/>
      <c r="M193" s="48"/>
      <c r="N193" s="48"/>
      <c r="O193" s="48"/>
    </row>
    <row r="194" spans="2:15" s="46" customFormat="1" ht="15" customHeight="1">
      <c r="B194" s="47"/>
      <c r="C194" s="48"/>
      <c r="D194" s="48"/>
      <c r="E194" s="48"/>
      <c r="F194" s="48"/>
      <c r="G194" s="48"/>
      <c r="H194" s="48"/>
      <c r="I194" s="48"/>
      <c r="J194" s="48"/>
      <c r="K194" s="48"/>
      <c r="L194" s="48"/>
      <c r="M194" s="48"/>
      <c r="N194" s="48"/>
      <c r="O194" s="48"/>
    </row>
    <row r="195" spans="2:15" s="46" customFormat="1" ht="15" customHeight="1">
      <c r="B195" s="47"/>
      <c r="C195" s="48"/>
      <c r="D195" s="48"/>
      <c r="E195" s="48"/>
      <c r="F195" s="48"/>
      <c r="G195" s="48"/>
      <c r="H195" s="48"/>
      <c r="I195" s="48"/>
      <c r="J195" s="48"/>
      <c r="K195" s="48"/>
      <c r="L195" s="48"/>
      <c r="M195" s="48"/>
      <c r="N195" s="48"/>
      <c r="O195" s="48"/>
    </row>
    <row r="196" spans="2:15" s="46" customFormat="1" ht="15" customHeight="1">
      <c r="B196" s="47"/>
      <c r="C196" s="48"/>
      <c r="D196" s="48"/>
      <c r="E196" s="48"/>
      <c r="F196" s="48"/>
      <c r="G196" s="48"/>
      <c r="H196" s="48"/>
      <c r="I196" s="48"/>
      <c r="J196" s="48"/>
      <c r="K196" s="48"/>
      <c r="L196" s="48"/>
      <c r="M196" s="48"/>
      <c r="N196" s="48"/>
      <c r="O196" s="48"/>
    </row>
    <row r="197" spans="2:15" s="46" customFormat="1" ht="15" customHeight="1">
      <c r="B197" s="47"/>
      <c r="C197" s="48"/>
      <c r="D197" s="48"/>
      <c r="E197" s="48"/>
      <c r="F197" s="48"/>
      <c r="G197" s="48"/>
      <c r="H197" s="48"/>
      <c r="I197" s="48"/>
      <c r="J197" s="48"/>
      <c r="K197" s="48"/>
      <c r="L197" s="48"/>
      <c r="M197" s="48"/>
      <c r="N197" s="48"/>
      <c r="O197" s="48"/>
    </row>
    <row r="198" spans="2:15" s="46" customFormat="1" ht="15" customHeight="1">
      <c r="B198" s="47"/>
      <c r="C198" s="48"/>
      <c r="D198" s="48"/>
      <c r="E198" s="48"/>
      <c r="F198" s="48"/>
      <c r="G198" s="48"/>
      <c r="H198" s="48"/>
      <c r="I198" s="48"/>
      <c r="J198" s="48"/>
      <c r="K198" s="48"/>
      <c r="L198" s="48"/>
      <c r="M198" s="48"/>
      <c r="N198" s="48"/>
      <c r="O198" s="48"/>
    </row>
    <row r="199" spans="2:15" s="46" customFormat="1" ht="15" customHeight="1">
      <c r="B199" s="47"/>
      <c r="C199" s="48"/>
      <c r="D199" s="48"/>
      <c r="E199" s="48"/>
      <c r="F199" s="48"/>
      <c r="G199" s="48"/>
      <c r="H199" s="48"/>
      <c r="I199" s="48"/>
      <c r="J199" s="48"/>
      <c r="K199" s="48"/>
      <c r="L199" s="48"/>
      <c r="M199" s="48"/>
      <c r="N199" s="48"/>
      <c r="O199" s="48"/>
    </row>
    <row r="200" spans="2:15" s="46" customFormat="1" ht="15" customHeight="1">
      <c r="B200" s="47"/>
      <c r="C200" s="48"/>
      <c r="D200" s="48"/>
      <c r="E200" s="48"/>
      <c r="F200" s="48"/>
      <c r="G200" s="48"/>
      <c r="H200" s="48"/>
      <c r="I200" s="48"/>
      <c r="J200" s="48"/>
      <c r="K200" s="48"/>
      <c r="L200" s="48"/>
      <c r="M200" s="48"/>
      <c r="N200" s="48"/>
      <c r="O200" s="48"/>
    </row>
    <row r="201" spans="2:15" s="46" customFormat="1" ht="15" customHeight="1">
      <c r="B201" s="47"/>
      <c r="C201" s="48"/>
      <c r="D201" s="48"/>
      <c r="E201" s="48"/>
      <c r="F201" s="48"/>
      <c r="G201" s="48"/>
      <c r="H201" s="48"/>
      <c r="I201" s="48"/>
      <c r="J201" s="48"/>
      <c r="K201" s="48"/>
      <c r="L201" s="48"/>
      <c r="M201" s="48"/>
      <c r="N201" s="48"/>
      <c r="O201" s="48"/>
    </row>
    <row r="202" spans="2:15" s="46" customFormat="1" ht="15" customHeight="1">
      <c r="B202" s="47"/>
      <c r="C202" s="48"/>
      <c r="D202" s="48"/>
      <c r="E202" s="48"/>
      <c r="F202" s="48"/>
      <c r="G202" s="48"/>
      <c r="H202" s="48"/>
      <c r="I202" s="48"/>
      <c r="J202" s="48"/>
      <c r="K202" s="48"/>
      <c r="L202" s="48"/>
      <c r="M202" s="48"/>
      <c r="N202" s="48"/>
      <c r="O202" s="48"/>
    </row>
    <row r="203" spans="2:15" s="46" customFormat="1" ht="15" customHeight="1">
      <c r="B203" s="47"/>
      <c r="C203" s="48"/>
      <c r="D203" s="48"/>
      <c r="E203" s="48"/>
      <c r="F203" s="48"/>
      <c r="G203" s="48"/>
      <c r="H203" s="48"/>
      <c r="I203" s="48"/>
      <c r="J203" s="48"/>
      <c r="K203" s="48"/>
      <c r="L203" s="48"/>
      <c r="M203" s="48"/>
      <c r="N203" s="48"/>
      <c r="O203" s="48"/>
    </row>
    <row r="204" spans="2:15" s="46" customFormat="1" ht="15" customHeight="1">
      <c r="B204" s="47"/>
      <c r="C204" s="48"/>
      <c r="D204" s="48"/>
      <c r="E204" s="48"/>
      <c r="F204" s="48"/>
      <c r="G204" s="48"/>
      <c r="H204" s="48"/>
      <c r="I204" s="48"/>
      <c r="J204" s="48"/>
      <c r="K204" s="48"/>
      <c r="L204" s="48"/>
      <c r="M204" s="48"/>
      <c r="N204" s="48"/>
      <c r="O204" s="48"/>
    </row>
    <row r="205" spans="2:15" s="46" customFormat="1" ht="15" customHeight="1">
      <c r="B205" s="47"/>
      <c r="C205" s="48"/>
      <c r="D205" s="48"/>
      <c r="E205" s="48"/>
      <c r="F205" s="48"/>
      <c r="G205" s="48"/>
      <c r="H205" s="48"/>
      <c r="I205" s="48"/>
      <c r="J205" s="48"/>
      <c r="K205" s="48"/>
      <c r="L205" s="48"/>
      <c r="M205" s="48"/>
      <c r="N205" s="48"/>
      <c r="O205" s="48"/>
    </row>
    <row r="206" spans="2:15" s="46" customFormat="1" ht="15" customHeight="1">
      <c r="B206" s="47"/>
      <c r="C206" s="48"/>
      <c r="D206" s="48"/>
      <c r="E206" s="48"/>
      <c r="F206" s="48"/>
      <c r="G206" s="48"/>
      <c r="H206" s="48"/>
      <c r="I206" s="48"/>
      <c r="J206" s="48"/>
      <c r="K206" s="48"/>
      <c r="L206" s="48"/>
      <c r="M206" s="48"/>
      <c r="N206" s="48"/>
      <c r="O206" s="48"/>
    </row>
    <row r="207" spans="2:15" s="46" customFormat="1" ht="15" customHeight="1">
      <c r="B207" s="47"/>
      <c r="C207" s="48"/>
      <c r="D207" s="48"/>
      <c r="E207" s="48"/>
      <c r="F207" s="48"/>
      <c r="G207" s="48"/>
      <c r="H207" s="48"/>
      <c r="I207" s="48"/>
      <c r="J207" s="48"/>
      <c r="K207" s="48"/>
      <c r="L207" s="48"/>
      <c r="M207" s="48"/>
      <c r="N207" s="48"/>
      <c r="O207" s="48"/>
    </row>
    <row r="208" spans="2:15" s="46" customFormat="1" ht="15" customHeight="1">
      <c r="B208" s="47"/>
      <c r="C208" s="48"/>
      <c r="D208" s="48"/>
      <c r="E208" s="48"/>
      <c r="F208" s="48"/>
      <c r="G208" s="48"/>
      <c r="H208" s="48"/>
      <c r="I208" s="48"/>
      <c r="J208" s="48"/>
      <c r="K208" s="48"/>
      <c r="L208" s="48"/>
      <c r="M208" s="48"/>
      <c r="N208" s="48"/>
      <c r="O208" s="48"/>
    </row>
    <row r="209" spans="2:15" s="46" customFormat="1" ht="15" customHeight="1">
      <c r="B209" s="47"/>
      <c r="C209" s="48"/>
      <c r="D209" s="48"/>
      <c r="E209" s="48"/>
      <c r="F209" s="48"/>
      <c r="G209" s="48"/>
      <c r="H209" s="48"/>
      <c r="I209" s="48"/>
      <c r="J209" s="48"/>
      <c r="K209" s="48"/>
      <c r="L209" s="48"/>
      <c r="M209" s="48"/>
      <c r="N209" s="48"/>
      <c r="O209" s="48"/>
    </row>
    <row r="210" spans="2:15" s="46" customFormat="1" ht="15" customHeight="1">
      <c r="B210" s="47"/>
      <c r="C210" s="48"/>
      <c r="D210" s="48"/>
      <c r="E210" s="48"/>
      <c r="F210" s="48"/>
      <c r="G210" s="48"/>
      <c r="H210" s="48"/>
      <c r="I210" s="48"/>
      <c r="J210" s="48"/>
      <c r="K210" s="48"/>
      <c r="L210" s="48"/>
      <c r="M210" s="48"/>
      <c r="N210" s="48"/>
      <c r="O210" s="48"/>
    </row>
    <row r="211" spans="2:15" s="46" customFormat="1" ht="15" customHeight="1">
      <c r="B211" s="47"/>
      <c r="C211" s="48"/>
      <c r="D211" s="48"/>
      <c r="E211" s="48"/>
      <c r="F211" s="48"/>
      <c r="G211" s="48"/>
      <c r="H211" s="48"/>
      <c r="I211" s="48"/>
      <c r="J211" s="48"/>
      <c r="K211" s="48"/>
      <c r="L211" s="48"/>
      <c r="M211" s="48"/>
      <c r="N211" s="48"/>
      <c r="O211" s="48"/>
    </row>
    <row r="212" spans="2:15" s="46" customFormat="1" ht="15" customHeight="1">
      <c r="B212" s="47"/>
      <c r="C212" s="48"/>
      <c r="D212" s="48"/>
      <c r="E212" s="48"/>
      <c r="F212" s="48"/>
      <c r="G212" s="48"/>
      <c r="H212" s="48"/>
      <c r="I212" s="48"/>
      <c r="J212" s="48"/>
      <c r="K212" s="48"/>
      <c r="L212" s="48"/>
      <c r="M212" s="48"/>
      <c r="N212" s="48"/>
      <c r="O212" s="48"/>
    </row>
    <row r="213" spans="2:15" s="46" customFormat="1" ht="15" customHeight="1">
      <c r="B213" s="47"/>
      <c r="C213" s="48"/>
      <c r="D213" s="48"/>
      <c r="E213" s="48"/>
      <c r="F213" s="48"/>
      <c r="G213" s="48"/>
      <c r="H213" s="48"/>
      <c r="I213" s="48"/>
      <c r="J213" s="48"/>
      <c r="K213" s="48"/>
      <c r="L213" s="48"/>
      <c r="M213" s="48"/>
      <c r="N213" s="48"/>
      <c r="O213" s="48"/>
    </row>
    <row r="214" spans="2:15" s="46" customFormat="1" ht="15" customHeight="1">
      <c r="B214" s="47"/>
      <c r="C214" s="48"/>
      <c r="D214" s="48"/>
      <c r="E214" s="48"/>
      <c r="F214" s="48"/>
      <c r="G214" s="48"/>
      <c r="H214" s="48"/>
      <c r="I214" s="48"/>
      <c r="J214" s="48"/>
      <c r="K214" s="48"/>
      <c r="L214" s="48"/>
      <c r="M214" s="48"/>
      <c r="N214" s="48"/>
      <c r="O214" s="48"/>
    </row>
    <row r="215" spans="2:15" s="46" customFormat="1" ht="15" customHeight="1">
      <c r="B215" s="47"/>
      <c r="C215" s="48"/>
      <c r="D215" s="48"/>
      <c r="E215" s="48"/>
      <c r="F215" s="48"/>
      <c r="G215" s="48"/>
      <c r="H215" s="48"/>
      <c r="I215" s="48"/>
      <c r="J215" s="48"/>
      <c r="K215" s="48"/>
      <c r="L215" s="48"/>
      <c r="M215" s="48"/>
      <c r="N215" s="48"/>
      <c r="O215" s="48"/>
    </row>
    <row r="216" spans="2:15" s="46" customFormat="1" ht="15" customHeight="1">
      <c r="B216" s="47"/>
      <c r="C216" s="48"/>
      <c r="D216" s="48"/>
      <c r="E216" s="48"/>
      <c r="F216" s="48"/>
      <c r="G216" s="48"/>
      <c r="H216" s="48"/>
      <c r="I216" s="48"/>
      <c r="J216" s="48"/>
      <c r="K216" s="48"/>
      <c r="L216" s="48"/>
      <c r="M216" s="48"/>
      <c r="N216" s="48"/>
      <c r="O216" s="48"/>
    </row>
    <row r="217" spans="2:15" s="46" customFormat="1" ht="15" customHeight="1">
      <c r="B217" s="47"/>
      <c r="C217" s="48"/>
      <c r="D217" s="48"/>
      <c r="E217" s="48"/>
      <c r="F217" s="48"/>
      <c r="G217" s="48"/>
      <c r="H217" s="48"/>
      <c r="I217" s="48"/>
      <c r="J217" s="48"/>
      <c r="K217" s="48"/>
      <c r="L217" s="48"/>
      <c r="M217" s="48"/>
      <c r="N217" s="48"/>
      <c r="O217" s="48"/>
    </row>
    <row r="218" spans="2:15" s="46" customFormat="1" ht="15" customHeight="1">
      <c r="B218" s="47"/>
      <c r="C218" s="48"/>
      <c r="D218" s="48"/>
      <c r="E218" s="48"/>
      <c r="F218" s="48"/>
      <c r="G218" s="48"/>
      <c r="H218" s="48"/>
      <c r="I218" s="48"/>
      <c r="J218" s="48"/>
      <c r="K218" s="48"/>
      <c r="L218" s="48"/>
      <c r="M218" s="48"/>
      <c r="N218" s="48"/>
      <c r="O218" s="48"/>
    </row>
    <row r="219" spans="2:15" s="46" customFormat="1" ht="15" customHeight="1">
      <c r="B219" s="47"/>
      <c r="C219" s="48"/>
      <c r="D219" s="48"/>
      <c r="E219" s="48"/>
      <c r="F219" s="48"/>
      <c r="G219" s="48"/>
      <c r="H219" s="48"/>
      <c r="I219" s="48"/>
      <c r="J219" s="48"/>
      <c r="K219" s="48"/>
      <c r="L219" s="48"/>
      <c r="M219" s="48"/>
      <c r="N219" s="48"/>
      <c r="O219" s="48"/>
    </row>
    <row r="220" spans="2:15" s="46" customFormat="1" ht="15" customHeight="1">
      <c r="B220" s="47"/>
      <c r="C220" s="48"/>
      <c r="D220" s="48"/>
      <c r="E220" s="48"/>
      <c r="F220" s="48"/>
      <c r="G220" s="48"/>
      <c r="H220" s="48"/>
      <c r="I220" s="48"/>
      <c r="J220" s="48"/>
      <c r="K220" s="48"/>
      <c r="L220" s="48"/>
      <c r="M220" s="48"/>
      <c r="N220" s="48"/>
      <c r="O220" s="48"/>
    </row>
    <row r="221" spans="2:15" s="46" customFormat="1" ht="15" customHeight="1">
      <c r="B221" s="47"/>
      <c r="C221" s="48"/>
      <c r="D221" s="48"/>
      <c r="E221" s="48"/>
      <c r="F221" s="48"/>
      <c r="G221" s="48"/>
      <c r="H221" s="48"/>
      <c r="I221" s="48"/>
      <c r="J221" s="48"/>
      <c r="K221" s="48"/>
      <c r="L221" s="48"/>
      <c r="M221" s="48"/>
      <c r="N221" s="48"/>
      <c r="O221" s="48"/>
    </row>
    <row r="222" spans="2:15" s="46" customFormat="1" ht="15" customHeight="1">
      <c r="B222" s="47"/>
      <c r="C222" s="48"/>
      <c r="D222" s="48"/>
      <c r="E222" s="48"/>
      <c r="F222" s="48"/>
      <c r="G222" s="48"/>
      <c r="H222" s="48"/>
      <c r="I222" s="48"/>
      <c r="J222" s="48"/>
      <c r="K222" s="48"/>
      <c r="L222" s="48"/>
      <c r="M222" s="48"/>
      <c r="N222" s="48"/>
      <c r="O222" s="48"/>
    </row>
    <row r="223" spans="2:15" s="46" customFormat="1" ht="15" customHeight="1">
      <c r="B223" s="47"/>
      <c r="C223" s="48"/>
      <c r="D223" s="48"/>
      <c r="E223" s="48"/>
      <c r="F223" s="48"/>
      <c r="G223" s="48"/>
      <c r="H223" s="48"/>
      <c r="I223" s="48"/>
      <c r="J223" s="48"/>
      <c r="K223" s="48"/>
      <c r="L223" s="48"/>
      <c r="M223" s="48"/>
      <c r="N223" s="48"/>
      <c r="O223" s="48"/>
    </row>
    <row r="224" spans="2:15" s="46" customFormat="1" ht="15" customHeight="1">
      <c r="B224" s="47"/>
      <c r="C224" s="48"/>
      <c r="D224" s="48"/>
      <c r="E224" s="48"/>
      <c r="F224" s="48"/>
      <c r="G224" s="48"/>
      <c r="H224" s="48"/>
      <c r="I224" s="48"/>
      <c r="J224" s="48"/>
      <c r="K224" s="48"/>
      <c r="L224" s="48"/>
      <c r="M224" s="48"/>
      <c r="N224" s="48"/>
      <c r="O224" s="48"/>
    </row>
    <row r="225" spans="2:15" s="46" customFormat="1" ht="15" customHeight="1">
      <c r="B225" s="47"/>
      <c r="C225" s="48"/>
      <c r="D225" s="48"/>
      <c r="E225" s="48"/>
      <c r="F225" s="48"/>
      <c r="G225" s="48"/>
      <c r="H225" s="48"/>
      <c r="I225" s="48"/>
      <c r="J225" s="48"/>
      <c r="K225" s="48"/>
      <c r="L225" s="48"/>
      <c r="M225" s="48"/>
      <c r="N225" s="48"/>
      <c r="O225" s="48"/>
    </row>
    <row r="226" spans="2:15" s="46" customFormat="1" ht="15" customHeight="1">
      <c r="B226" s="47"/>
      <c r="C226" s="48"/>
      <c r="D226" s="48"/>
      <c r="E226" s="48"/>
      <c r="F226" s="48"/>
      <c r="G226" s="48"/>
      <c r="H226" s="48"/>
      <c r="I226" s="48"/>
      <c r="J226" s="48"/>
      <c r="K226" s="48"/>
      <c r="L226" s="48"/>
      <c r="M226" s="48"/>
      <c r="N226" s="48"/>
      <c r="O226" s="48"/>
    </row>
    <row r="227" spans="2:15" s="46" customFormat="1" ht="15" customHeight="1">
      <c r="B227" s="47"/>
      <c r="C227" s="48"/>
      <c r="D227" s="48"/>
      <c r="E227" s="48"/>
      <c r="F227" s="48"/>
      <c r="G227" s="48"/>
      <c r="H227" s="48"/>
      <c r="I227" s="48"/>
      <c r="J227" s="48"/>
      <c r="K227" s="48"/>
      <c r="L227" s="48"/>
      <c r="M227" s="48"/>
      <c r="N227" s="48"/>
      <c r="O227" s="48"/>
    </row>
    <row r="228" spans="2:15" s="46" customFormat="1" ht="15" customHeight="1">
      <c r="B228" s="47"/>
      <c r="C228" s="48"/>
      <c r="D228" s="48"/>
      <c r="E228" s="48"/>
      <c r="F228" s="48"/>
      <c r="G228" s="48"/>
      <c r="H228" s="48"/>
      <c r="I228" s="48"/>
      <c r="J228" s="48"/>
      <c r="K228" s="48"/>
      <c r="L228" s="48"/>
      <c r="M228" s="48"/>
      <c r="N228" s="48"/>
      <c r="O228" s="48"/>
    </row>
    <row r="229" spans="2:15" s="46" customFormat="1" ht="15" customHeight="1">
      <c r="B229" s="47"/>
      <c r="C229" s="48"/>
      <c r="D229" s="48"/>
      <c r="E229" s="48"/>
      <c r="F229" s="48"/>
      <c r="G229" s="48"/>
      <c r="H229" s="48"/>
      <c r="I229" s="48"/>
      <c r="J229" s="48"/>
      <c r="K229" s="48"/>
      <c r="L229" s="48"/>
      <c r="M229" s="48"/>
      <c r="N229" s="48"/>
      <c r="O229" s="48"/>
    </row>
    <row r="230" spans="2:15" s="46" customFormat="1" ht="15" customHeight="1">
      <c r="B230" s="47"/>
      <c r="C230" s="48"/>
      <c r="D230" s="48"/>
      <c r="E230" s="48"/>
      <c r="F230" s="48"/>
      <c r="G230" s="48"/>
      <c r="H230" s="48"/>
      <c r="I230" s="48"/>
      <c r="J230" s="48"/>
      <c r="K230" s="48"/>
      <c r="L230" s="48"/>
      <c r="M230" s="48"/>
      <c r="N230" s="48"/>
      <c r="O230" s="48"/>
    </row>
    <row r="231" spans="2:15" s="46" customFormat="1" ht="15" customHeight="1">
      <c r="B231" s="47"/>
      <c r="C231" s="48"/>
      <c r="D231" s="48"/>
      <c r="E231" s="48"/>
      <c r="F231" s="48"/>
      <c r="G231" s="48"/>
      <c r="H231" s="48"/>
      <c r="I231" s="48"/>
      <c r="J231" s="48"/>
      <c r="K231" s="48"/>
      <c r="L231" s="48"/>
      <c r="M231" s="48"/>
      <c r="N231" s="48"/>
      <c r="O231" s="48"/>
    </row>
    <row r="232" spans="2:15" s="46" customFormat="1" ht="15" customHeight="1">
      <c r="B232" s="47"/>
      <c r="C232" s="48"/>
      <c r="D232" s="48"/>
      <c r="E232" s="48"/>
      <c r="F232" s="48"/>
      <c r="G232" s="48"/>
      <c r="H232" s="48"/>
      <c r="I232" s="48"/>
      <c r="J232" s="48"/>
      <c r="K232" s="48"/>
      <c r="L232" s="48"/>
      <c r="M232" s="48"/>
      <c r="N232" s="48"/>
      <c r="O232" s="48"/>
    </row>
    <row r="233" spans="2:15" s="46" customFormat="1" ht="15" customHeight="1">
      <c r="B233" s="47"/>
      <c r="C233" s="48"/>
      <c r="D233" s="48"/>
      <c r="E233" s="48"/>
      <c r="F233" s="48"/>
      <c r="G233" s="48"/>
      <c r="H233" s="48"/>
      <c r="I233" s="48"/>
      <c r="J233" s="48"/>
      <c r="K233" s="48"/>
      <c r="L233" s="48"/>
      <c r="M233" s="48"/>
      <c r="N233" s="48"/>
      <c r="O233" s="48"/>
    </row>
    <row r="234" spans="2:15" s="46" customFormat="1" ht="15" customHeight="1">
      <c r="B234" s="47"/>
      <c r="C234" s="48"/>
      <c r="D234" s="48"/>
      <c r="E234" s="48"/>
      <c r="F234" s="48"/>
      <c r="G234" s="48"/>
      <c r="H234" s="48"/>
      <c r="I234" s="48"/>
      <c r="J234" s="48"/>
      <c r="K234" s="48"/>
      <c r="L234" s="48"/>
      <c r="M234" s="48"/>
      <c r="N234" s="48"/>
      <c r="O234" s="48"/>
    </row>
    <row r="235" spans="2:15" s="46" customFormat="1" ht="15" customHeight="1">
      <c r="B235" s="47"/>
      <c r="C235" s="48"/>
      <c r="D235" s="48"/>
      <c r="E235" s="48"/>
      <c r="F235" s="48"/>
      <c r="G235" s="48"/>
      <c r="H235" s="48"/>
      <c r="I235" s="48"/>
      <c r="J235" s="48"/>
      <c r="K235" s="48"/>
      <c r="L235" s="48"/>
      <c r="M235" s="48"/>
      <c r="N235" s="48"/>
      <c r="O235" s="48"/>
    </row>
    <row r="236" spans="2:15" s="46" customFormat="1" ht="15" customHeight="1">
      <c r="B236" s="47"/>
      <c r="C236" s="48"/>
      <c r="D236" s="48"/>
      <c r="E236" s="48"/>
      <c r="F236" s="48"/>
      <c r="G236" s="48"/>
      <c r="H236" s="48"/>
      <c r="I236" s="48"/>
      <c r="J236" s="48"/>
      <c r="K236" s="48"/>
      <c r="L236" s="48"/>
      <c r="M236" s="48"/>
      <c r="N236" s="48"/>
      <c r="O236" s="48"/>
    </row>
    <row r="237" spans="2:15" s="46" customFormat="1" ht="15" customHeight="1">
      <c r="B237" s="47"/>
      <c r="C237" s="48"/>
      <c r="D237" s="48"/>
      <c r="E237" s="48"/>
      <c r="F237" s="48"/>
      <c r="G237" s="48"/>
      <c r="H237" s="48"/>
      <c r="I237" s="48"/>
      <c r="J237" s="48"/>
      <c r="K237" s="48"/>
      <c r="L237" s="48"/>
      <c r="M237" s="48"/>
      <c r="N237" s="48"/>
      <c r="O237" s="48"/>
    </row>
    <row r="238" spans="2:15" s="46" customFormat="1" ht="15" customHeight="1">
      <c r="B238" s="47"/>
      <c r="C238" s="48"/>
      <c r="D238" s="48"/>
      <c r="E238" s="48"/>
      <c r="F238" s="48"/>
      <c r="G238" s="48"/>
      <c r="H238" s="48"/>
      <c r="I238" s="48"/>
      <c r="J238" s="48"/>
      <c r="K238" s="48"/>
      <c r="L238" s="48"/>
      <c r="M238" s="48"/>
      <c r="N238" s="48"/>
      <c r="O238" s="48"/>
    </row>
    <row r="239" spans="2:15" s="46" customFormat="1" ht="15" customHeight="1">
      <c r="B239" s="47"/>
      <c r="C239" s="48"/>
      <c r="D239" s="48"/>
      <c r="E239" s="48"/>
      <c r="F239" s="48"/>
      <c r="G239" s="48"/>
      <c r="H239" s="48"/>
      <c r="I239" s="48"/>
      <c r="J239" s="48"/>
      <c r="K239" s="48"/>
      <c r="L239" s="48"/>
      <c r="M239" s="48"/>
      <c r="N239" s="48"/>
      <c r="O239" s="48"/>
    </row>
    <row r="240" spans="2:15" s="46" customFormat="1" ht="15" customHeight="1">
      <c r="B240" s="47"/>
      <c r="C240" s="48"/>
      <c r="D240" s="48"/>
      <c r="E240" s="48"/>
      <c r="F240" s="48"/>
      <c r="G240" s="48"/>
      <c r="H240" s="48"/>
      <c r="I240" s="48"/>
      <c r="J240" s="48"/>
      <c r="K240" s="48"/>
      <c r="L240" s="48"/>
      <c r="M240" s="48"/>
      <c r="N240" s="48"/>
      <c r="O240" s="48"/>
    </row>
    <row r="241" spans="2:15" s="46" customFormat="1" ht="15" customHeight="1">
      <c r="B241" s="47"/>
      <c r="C241" s="48"/>
      <c r="D241" s="48"/>
      <c r="E241" s="48"/>
      <c r="F241" s="48"/>
      <c r="G241" s="48"/>
      <c r="H241" s="48"/>
      <c r="I241" s="48"/>
      <c r="J241" s="48"/>
      <c r="K241" s="48"/>
      <c r="L241" s="48"/>
      <c r="M241" s="48"/>
      <c r="N241" s="48"/>
      <c r="O241" s="48"/>
    </row>
    <row r="242" spans="2:15" s="46" customFormat="1" ht="15" customHeight="1">
      <c r="B242" s="47"/>
      <c r="C242" s="48"/>
      <c r="D242" s="48"/>
      <c r="E242" s="48"/>
      <c r="F242" s="48"/>
      <c r="G242" s="48"/>
      <c r="H242" s="48"/>
      <c r="I242" s="48"/>
      <c r="J242" s="48"/>
      <c r="K242" s="48"/>
      <c r="L242" s="48"/>
      <c r="M242" s="48"/>
      <c r="N242" s="48"/>
      <c r="O242" s="48"/>
    </row>
    <row r="243" spans="2:15" s="46" customFormat="1" ht="15" customHeight="1">
      <c r="B243" s="47"/>
      <c r="C243" s="48"/>
      <c r="D243" s="48"/>
      <c r="E243" s="48"/>
      <c r="F243" s="48"/>
      <c r="G243" s="48"/>
      <c r="H243" s="48"/>
      <c r="I243" s="48"/>
      <c r="J243" s="48"/>
      <c r="K243" s="48"/>
      <c r="L243" s="48"/>
      <c r="M243" s="48"/>
      <c r="N243" s="48"/>
      <c r="O243" s="48"/>
    </row>
    <row r="244" spans="2:15" s="46" customFormat="1" ht="15" customHeight="1">
      <c r="B244" s="47"/>
      <c r="C244" s="48"/>
      <c r="D244" s="48"/>
      <c r="E244" s="48"/>
      <c r="F244" s="48"/>
      <c r="G244" s="48"/>
      <c r="H244" s="48"/>
      <c r="I244" s="48"/>
      <c r="J244" s="48"/>
      <c r="K244" s="48"/>
      <c r="L244" s="48"/>
      <c r="M244" s="48"/>
      <c r="N244" s="48"/>
      <c r="O244" s="48"/>
    </row>
    <row r="245" spans="2:15" s="46" customFormat="1" ht="15" customHeight="1">
      <c r="B245" s="47"/>
      <c r="C245" s="48"/>
      <c r="D245" s="48"/>
      <c r="E245" s="48"/>
      <c r="F245" s="48"/>
      <c r="G245" s="48"/>
      <c r="H245" s="48"/>
      <c r="I245" s="48"/>
      <c r="J245" s="48"/>
      <c r="K245" s="48"/>
      <c r="L245" s="48"/>
      <c r="M245" s="48"/>
      <c r="N245" s="48"/>
      <c r="O245" s="48"/>
    </row>
    <row r="246" spans="2:15" s="46" customFormat="1" ht="15" customHeight="1">
      <c r="B246" s="47"/>
      <c r="C246" s="48"/>
      <c r="D246" s="48"/>
      <c r="E246" s="48"/>
      <c r="F246" s="48"/>
      <c r="G246" s="48"/>
      <c r="H246" s="48"/>
      <c r="I246" s="48"/>
      <c r="J246" s="48"/>
      <c r="K246" s="48"/>
      <c r="L246" s="48"/>
      <c r="M246" s="48"/>
      <c r="N246" s="48"/>
      <c r="O246" s="48"/>
    </row>
    <row r="247" spans="2:15" s="46" customFormat="1" ht="15" customHeight="1">
      <c r="B247" s="47"/>
      <c r="C247" s="48"/>
      <c r="D247" s="48"/>
      <c r="E247" s="48"/>
      <c r="F247" s="48"/>
      <c r="G247" s="48"/>
      <c r="H247" s="48"/>
      <c r="I247" s="48"/>
      <c r="J247" s="48"/>
      <c r="K247" s="48"/>
      <c r="L247" s="48"/>
      <c r="M247" s="48"/>
      <c r="N247" s="48"/>
      <c r="O247" s="48"/>
    </row>
    <row r="248" spans="2:15" s="46" customFormat="1" ht="15" customHeight="1">
      <c r="B248" s="47"/>
      <c r="C248" s="48"/>
      <c r="D248" s="48"/>
      <c r="E248" s="48"/>
      <c r="F248" s="48"/>
      <c r="G248" s="48"/>
      <c r="H248" s="48"/>
      <c r="I248" s="48"/>
      <c r="J248" s="48"/>
      <c r="K248" s="48"/>
      <c r="L248" s="48"/>
      <c r="M248" s="48"/>
      <c r="N248" s="48"/>
      <c r="O248" s="48"/>
    </row>
    <row r="249" spans="2:15" s="46" customFormat="1" ht="15" customHeight="1">
      <c r="B249" s="47"/>
      <c r="C249" s="48"/>
      <c r="D249" s="48"/>
      <c r="E249" s="48"/>
      <c r="F249" s="48"/>
      <c r="G249" s="48"/>
      <c r="H249" s="48"/>
      <c r="I249" s="48"/>
      <c r="J249" s="48"/>
      <c r="K249" s="48"/>
      <c r="L249" s="48"/>
      <c r="M249" s="48"/>
      <c r="N249" s="48"/>
      <c r="O249" s="48"/>
    </row>
    <row r="250" spans="2:15" s="46" customFormat="1" ht="15" customHeight="1">
      <c r="B250" s="47"/>
      <c r="C250" s="48"/>
      <c r="D250" s="48"/>
      <c r="E250" s="48"/>
      <c r="F250" s="48"/>
      <c r="G250" s="48"/>
      <c r="H250" s="48"/>
      <c r="I250" s="48"/>
      <c r="J250" s="48"/>
      <c r="K250" s="48"/>
      <c r="L250" s="48"/>
      <c r="M250" s="48"/>
      <c r="N250" s="48"/>
      <c r="O250" s="48"/>
    </row>
    <row r="251" spans="2:15" s="46" customFormat="1" ht="15" customHeight="1">
      <c r="B251" s="47"/>
      <c r="C251" s="48"/>
      <c r="D251" s="48"/>
      <c r="E251" s="48"/>
      <c r="F251" s="48"/>
      <c r="G251" s="48"/>
      <c r="H251" s="48"/>
      <c r="I251" s="48"/>
      <c r="J251" s="48"/>
      <c r="K251" s="48"/>
      <c r="L251" s="48"/>
      <c r="M251" s="48"/>
      <c r="N251" s="48"/>
      <c r="O251" s="48"/>
    </row>
    <row r="252" spans="2:15" s="46" customFormat="1" ht="15" customHeight="1">
      <c r="B252" s="47"/>
      <c r="C252" s="48"/>
      <c r="D252" s="48"/>
      <c r="E252" s="48"/>
      <c r="F252" s="48"/>
      <c r="G252" s="48"/>
      <c r="H252" s="48"/>
      <c r="I252" s="48"/>
      <c r="J252" s="48"/>
      <c r="K252" s="48"/>
      <c r="L252" s="48"/>
      <c r="M252" s="48"/>
      <c r="N252" s="48"/>
      <c r="O252" s="48"/>
    </row>
    <row r="253" spans="2:15" s="46" customFormat="1" ht="15" customHeight="1">
      <c r="B253" s="47"/>
      <c r="C253" s="48"/>
      <c r="D253" s="48"/>
      <c r="E253" s="48"/>
      <c r="F253" s="48"/>
      <c r="G253" s="48"/>
      <c r="H253" s="48"/>
      <c r="I253" s="48"/>
      <c r="J253" s="48"/>
      <c r="K253" s="48"/>
      <c r="L253" s="48"/>
      <c r="M253" s="48"/>
      <c r="N253" s="48"/>
      <c r="O253" s="48"/>
    </row>
    <row r="254" spans="2:15" s="46" customFormat="1" ht="15" customHeight="1">
      <c r="B254" s="47"/>
      <c r="C254" s="48"/>
      <c r="D254" s="48"/>
      <c r="E254" s="48"/>
      <c r="F254" s="48"/>
      <c r="G254" s="48"/>
      <c r="H254" s="48"/>
      <c r="I254" s="48"/>
      <c r="J254" s="48"/>
      <c r="K254" s="48"/>
      <c r="L254" s="48"/>
      <c r="M254" s="48"/>
      <c r="N254" s="48"/>
      <c r="O254" s="48"/>
    </row>
    <row r="255" spans="2:15" s="46" customFormat="1" ht="15" customHeight="1">
      <c r="B255" s="47"/>
      <c r="C255" s="48"/>
      <c r="D255" s="48"/>
      <c r="E255" s="48"/>
      <c r="F255" s="48"/>
      <c r="G255" s="48"/>
      <c r="H255" s="48"/>
      <c r="I255" s="48"/>
      <c r="J255" s="48"/>
      <c r="K255" s="48"/>
      <c r="L255" s="48"/>
      <c r="M255" s="48"/>
      <c r="N255" s="48"/>
      <c r="O255" s="48"/>
    </row>
    <row r="256" spans="2:15" s="46" customFormat="1" ht="15" customHeight="1">
      <c r="B256" s="47"/>
      <c r="C256" s="48"/>
      <c r="D256" s="48"/>
      <c r="E256" s="48"/>
      <c r="F256" s="48"/>
      <c r="G256" s="48"/>
      <c r="H256" s="48"/>
      <c r="I256" s="48"/>
      <c r="J256" s="48"/>
      <c r="K256" s="48"/>
      <c r="L256" s="48"/>
      <c r="M256" s="48"/>
      <c r="N256" s="48"/>
      <c r="O256" s="48"/>
    </row>
    <row r="257" spans="2:15" s="46" customFormat="1" ht="15" customHeight="1">
      <c r="B257" s="47"/>
      <c r="C257" s="48"/>
      <c r="D257" s="48"/>
      <c r="E257" s="48"/>
      <c r="F257" s="48"/>
      <c r="G257" s="48"/>
      <c r="H257" s="48"/>
      <c r="I257" s="48"/>
      <c r="J257" s="48"/>
      <c r="K257" s="48"/>
      <c r="L257" s="48"/>
      <c r="M257" s="48"/>
      <c r="N257" s="48"/>
      <c r="O257" s="48"/>
    </row>
    <row r="258" spans="2:15" s="46" customFormat="1" ht="15" customHeight="1">
      <c r="B258" s="47"/>
      <c r="C258" s="48"/>
      <c r="D258" s="48"/>
      <c r="E258" s="48"/>
      <c r="F258" s="48"/>
      <c r="G258" s="48"/>
      <c r="H258" s="48"/>
      <c r="I258" s="48"/>
      <c r="J258" s="48"/>
      <c r="K258" s="48"/>
      <c r="L258" s="48"/>
      <c r="M258" s="48"/>
      <c r="N258" s="48"/>
      <c r="O258" s="48"/>
    </row>
    <row r="259" spans="2:15" s="46" customFormat="1" ht="15" customHeight="1">
      <c r="B259" s="47"/>
      <c r="C259" s="48"/>
      <c r="D259" s="48"/>
      <c r="E259" s="48"/>
      <c r="F259" s="48"/>
      <c r="G259" s="48"/>
      <c r="H259" s="48"/>
      <c r="I259" s="48"/>
      <c r="J259" s="48"/>
      <c r="K259" s="48"/>
      <c r="L259" s="48"/>
      <c r="M259" s="48"/>
      <c r="N259" s="48"/>
      <c r="O259" s="48"/>
    </row>
    <row r="260" spans="2:15" s="46" customFormat="1" ht="15" customHeight="1">
      <c r="B260" s="47"/>
      <c r="C260" s="48"/>
      <c r="D260" s="48"/>
      <c r="E260" s="48"/>
      <c r="F260" s="48"/>
      <c r="G260" s="48"/>
      <c r="H260" s="48"/>
      <c r="I260" s="48"/>
      <c r="J260" s="48"/>
      <c r="K260" s="48"/>
      <c r="L260" s="48"/>
      <c r="M260" s="48"/>
      <c r="N260" s="48"/>
      <c r="O260" s="48"/>
    </row>
    <row r="261" spans="2:15" s="46" customFormat="1" ht="15" customHeight="1">
      <c r="B261" s="47"/>
      <c r="C261" s="48"/>
      <c r="D261" s="48"/>
      <c r="E261" s="48"/>
      <c r="F261" s="48"/>
      <c r="G261" s="48"/>
      <c r="H261" s="48"/>
      <c r="I261" s="48"/>
      <c r="J261" s="48"/>
      <c r="K261" s="48"/>
      <c r="L261" s="48"/>
      <c r="M261" s="48"/>
      <c r="N261" s="48"/>
      <c r="O261" s="48"/>
    </row>
    <row r="262" spans="2:15" s="46" customFormat="1" ht="15" customHeight="1">
      <c r="B262" s="47"/>
      <c r="C262" s="48"/>
      <c r="D262" s="48"/>
      <c r="E262" s="48"/>
      <c r="F262" s="48"/>
      <c r="G262" s="48"/>
      <c r="H262" s="48"/>
      <c r="I262" s="48"/>
      <c r="J262" s="48"/>
      <c r="K262" s="48"/>
      <c r="L262" s="48"/>
      <c r="M262" s="48"/>
      <c r="N262" s="48"/>
      <c r="O262" s="48"/>
    </row>
    <row r="263" spans="2:15" s="46" customFormat="1" ht="15" customHeight="1">
      <c r="B263" s="47"/>
      <c r="C263" s="48"/>
      <c r="D263" s="48"/>
      <c r="E263" s="48"/>
      <c r="F263" s="48"/>
      <c r="G263" s="48"/>
      <c r="H263" s="48"/>
      <c r="I263" s="48"/>
      <c r="J263" s="48"/>
      <c r="K263" s="48"/>
      <c r="L263" s="48"/>
      <c r="M263" s="48"/>
      <c r="N263" s="48"/>
      <c r="O263" s="48"/>
    </row>
    <row r="264" spans="2:15" s="46" customFormat="1" ht="15" customHeight="1">
      <c r="B264" s="47"/>
      <c r="C264" s="48"/>
      <c r="D264" s="48"/>
      <c r="E264" s="48"/>
      <c r="F264" s="48"/>
      <c r="G264" s="48"/>
      <c r="H264" s="48"/>
      <c r="I264" s="48"/>
      <c r="J264" s="48"/>
      <c r="K264" s="48"/>
      <c r="L264" s="48"/>
      <c r="M264" s="48"/>
      <c r="N264" s="48"/>
      <c r="O264" s="48"/>
    </row>
    <row r="265" spans="2:15" s="46" customFormat="1" ht="15" customHeight="1">
      <c r="B265" s="47"/>
      <c r="C265" s="48"/>
      <c r="D265" s="48"/>
      <c r="E265" s="48"/>
      <c r="F265" s="48"/>
      <c r="G265" s="48"/>
      <c r="H265" s="48"/>
      <c r="I265" s="48"/>
      <c r="J265" s="48"/>
      <c r="K265" s="48"/>
      <c r="L265" s="48"/>
      <c r="M265" s="48"/>
      <c r="N265" s="48"/>
      <c r="O265" s="48"/>
    </row>
    <row r="266" spans="2:15" s="46" customFormat="1" ht="15" customHeight="1">
      <c r="B266" s="47"/>
      <c r="C266" s="48"/>
      <c r="D266" s="48"/>
      <c r="E266" s="48"/>
      <c r="F266" s="48"/>
      <c r="G266" s="48"/>
      <c r="H266" s="48"/>
      <c r="I266" s="48"/>
      <c r="J266" s="48"/>
      <c r="K266" s="48"/>
      <c r="L266" s="48"/>
      <c r="M266" s="48"/>
      <c r="N266" s="48"/>
      <c r="O266" s="48"/>
    </row>
    <row r="267" spans="2:15" s="46" customFormat="1" ht="15" customHeight="1">
      <c r="B267" s="47"/>
      <c r="C267" s="48"/>
      <c r="D267" s="48"/>
      <c r="E267" s="48"/>
      <c r="F267" s="48"/>
      <c r="G267" s="48"/>
      <c r="H267" s="48"/>
      <c r="I267" s="48"/>
      <c r="J267" s="48"/>
      <c r="K267" s="48"/>
      <c r="L267" s="48"/>
      <c r="M267" s="48"/>
      <c r="N267" s="48"/>
      <c r="O267" s="48"/>
    </row>
    <row r="268" spans="2:15" s="46" customFormat="1" ht="15" customHeight="1">
      <c r="B268" s="47"/>
      <c r="C268" s="48"/>
      <c r="D268" s="48"/>
      <c r="E268" s="48"/>
      <c r="F268" s="48"/>
      <c r="G268" s="48"/>
      <c r="H268" s="48"/>
      <c r="I268" s="48"/>
      <c r="J268" s="48"/>
      <c r="K268" s="48"/>
      <c r="L268" s="48"/>
      <c r="M268" s="48"/>
      <c r="N268" s="48"/>
      <c r="O268" s="48"/>
    </row>
    <row r="269" spans="2:15" s="46" customFormat="1" ht="15" customHeight="1">
      <c r="B269" s="47"/>
      <c r="C269" s="48"/>
      <c r="D269" s="48"/>
      <c r="E269" s="48"/>
      <c r="F269" s="48"/>
      <c r="G269" s="48"/>
      <c r="H269" s="48"/>
      <c r="I269" s="48"/>
      <c r="J269" s="48"/>
      <c r="K269" s="48"/>
      <c r="L269" s="48"/>
      <c r="M269" s="48"/>
      <c r="N269" s="48"/>
      <c r="O269" s="48"/>
    </row>
    <row r="270" spans="2:15" s="46" customFormat="1" ht="15" customHeight="1">
      <c r="B270" s="47"/>
      <c r="C270" s="48"/>
      <c r="D270" s="48"/>
      <c r="E270" s="48"/>
      <c r="F270" s="48"/>
      <c r="G270" s="48"/>
      <c r="H270" s="48"/>
      <c r="I270" s="48"/>
      <c r="J270" s="48"/>
      <c r="K270" s="48"/>
      <c r="L270" s="48"/>
      <c r="M270" s="48"/>
      <c r="N270" s="48"/>
      <c r="O270" s="48"/>
    </row>
    <row r="271" spans="2:15" s="46" customFormat="1" ht="15" customHeight="1">
      <c r="B271" s="47"/>
      <c r="C271" s="48"/>
      <c r="D271" s="48"/>
      <c r="E271" s="48"/>
      <c r="F271" s="48"/>
      <c r="G271" s="48"/>
      <c r="H271" s="48"/>
      <c r="I271" s="48"/>
      <c r="J271" s="48"/>
      <c r="K271" s="48"/>
      <c r="L271" s="48"/>
      <c r="M271" s="48"/>
      <c r="N271" s="48"/>
      <c r="O271" s="48"/>
    </row>
    <row r="272" spans="2:15" s="46" customFormat="1" ht="15" customHeight="1">
      <c r="B272" s="47"/>
      <c r="C272" s="48"/>
      <c r="D272" s="48"/>
      <c r="E272" s="48"/>
      <c r="F272" s="48"/>
      <c r="G272" s="48"/>
      <c r="H272" s="48"/>
      <c r="I272" s="48"/>
      <c r="J272" s="48"/>
      <c r="K272" s="48"/>
      <c r="L272" s="48"/>
      <c r="M272" s="48"/>
      <c r="N272" s="48"/>
      <c r="O272" s="48"/>
    </row>
    <row r="273" spans="2:15" s="46" customFormat="1" ht="15" customHeight="1">
      <c r="B273" s="47"/>
      <c r="C273" s="48"/>
      <c r="D273" s="48"/>
      <c r="E273" s="48"/>
      <c r="F273" s="48"/>
      <c r="G273" s="48"/>
      <c r="H273" s="48"/>
      <c r="I273" s="48"/>
      <c r="J273" s="48"/>
      <c r="K273" s="48"/>
      <c r="L273" s="48"/>
      <c r="M273" s="48"/>
      <c r="N273" s="48"/>
      <c r="O273" s="48"/>
    </row>
    <row r="274" spans="2:15" s="46" customFormat="1" ht="15" customHeight="1">
      <c r="B274" s="47"/>
      <c r="C274" s="48"/>
      <c r="D274" s="48"/>
      <c r="E274" s="48"/>
      <c r="F274" s="48"/>
      <c r="G274" s="48"/>
      <c r="H274" s="48"/>
      <c r="I274" s="48"/>
      <c r="J274" s="48"/>
      <c r="K274" s="48"/>
      <c r="L274" s="48"/>
      <c r="M274" s="48"/>
      <c r="N274" s="48"/>
      <c r="O274" s="48"/>
    </row>
    <row r="275" spans="2:15" s="46" customFormat="1" ht="15" customHeight="1">
      <c r="B275" s="47"/>
      <c r="C275" s="48"/>
      <c r="D275" s="48"/>
      <c r="E275" s="48"/>
      <c r="F275" s="48"/>
      <c r="G275" s="48"/>
      <c r="H275" s="48"/>
      <c r="I275" s="48"/>
      <c r="J275" s="48"/>
      <c r="K275" s="48"/>
      <c r="L275" s="48"/>
      <c r="M275" s="48"/>
      <c r="N275" s="48"/>
      <c r="O275" s="48"/>
    </row>
    <row r="276" spans="2:15" s="46" customFormat="1" ht="15" customHeight="1">
      <c r="B276" s="47"/>
      <c r="C276" s="48"/>
      <c r="D276" s="48"/>
      <c r="E276" s="48"/>
      <c r="F276" s="48"/>
      <c r="G276" s="48"/>
      <c r="H276" s="48"/>
      <c r="I276" s="48"/>
      <c r="J276" s="48"/>
      <c r="K276" s="48"/>
      <c r="L276" s="48"/>
      <c r="M276" s="48"/>
      <c r="N276" s="48"/>
      <c r="O276" s="48"/>
    </row>
    <row r="277" spans="2:15" s="46" customFormat="1" ht="15" customHeight="1">
      <c r="B277" s="47"/>
      <c r="C277" s="48"/>
      <c r="D277" s="48"/>
      <c r="E277" s="48"/>
      <c r="F277" s="48"/>
      <c r="G277" s="48"/>
      <c r="H277" s="48"/>
      <c r="I277" s="48"/>
      <c r="J277" s="48"/>
      <c r="K277" s="48"/>
      <c r="L277" s="48"/>
      <c r="M277" s="48"/>
      <c r="N277" s="48"/>
      <c r="O277" s="48"/>
    </row>
    <row r="278" spans="2:15" s="46" customFormat="1" ht="15" customHeight="1">
      <c r="B278" s="47"/>
      <c r="C278" s="48"/>
      <c r="D278" s="48"/>
      <c r="E278" s="48"/>
      <c r="F278" s="48"/>
      <c r="G278" s="48"/>
      <c r="H278" s="48"/>
      <c r="I278" s="48"/>
      <c r="J278" s="48"/>
      <c r="K278" s="48"/>
      <c r="L278" s="48"/>
      <c r="M278" s="48"/>
      <c r="N278" s="48"/>
      <c r="O278" s="48"/>
    </row>
    <row r="279" spans="2:15" s="46" customFormat="1" ht="15" customHeight="1">
      <c r="B279" s="47"/>
      <c r="C279" s="48"/>
      <c r="D279" s="48"/>
      <c r="E279" s="48"/>
      <c r="F279" s="48"/>
      <c r="G279" s="48"/>
      <c r="H279" s="48"/>
      <c r="I279" s="48"/>
      <c r="J279" s="48"/>
      <c r="K279" s="48"/>
      <c r="L279" s="48"/>
      <c r="M279" s="48"/>
      <c r="N279" s="48"/>
      <c r="O279" s="48"/>
    </row>
    <row r="280" spans="2:15" s="46" customFormat="1" ht="15" customHeight="1">
      <c r="B280" s="47"/>
      <c r="C280" s="48"/>
      <c r="D280" s="48"/>
      <c r="E280" s="48"/>
      <c r="F280" s="48"/>
      <c r="G280" s="48"/>
      <c r="H280" s="48"/>
      <c r="I280" s="48"/>
      <c r="J280" s="48"/>
      <c r="K280" s="48"/>
      <c r="L280" s="48"/>
      <c r="M280" s="48"/>
      <c r="N280" s="48"/>
      <c r="O280" s="48"/>
    </row>
    <row r="281" spans="2:15" s="46" customFormat="1" ht="15" customHeight="1">
      <c r="B281" s="47"/>
      <c r="C281" s="48"/>
      <c r="D281" s="48"/>
      <c r="E281" s="48"/>
      <c r="F281" s="48"/>
      <c r="G281" s="48"/>
      <c r="H281" s="48"/>
      <c r="I281" s="48"/>
      <c r="J281" s="48"/>
      <c r="K281" s="48"/>
      <c r="L281" s="48"/>
      <c r="M281" s="48"/>
      <c r="N281" s="48"/>
      <c r="O281" s="48"/>
    </row>
    <row r="282" spans="2:15" s="46" customFormat="1" ht="15" customHeight="1">
      <c r="B282" s="47"/>
      <c r="C282" s="48"/>
      <c r="D282" s="48"/>
      <c r="E282" s="48"/>
      <c r="F282" s="48"/>
      <c r="G282" s="48"/>
      <c r="H282" s="48"/>
      <c r="I282" s="48"/>
      <c r="J282" s="48"/>
      <c r="K282" s="48"/>
      <c r="L282" s="48"/>
      <c r="M282" s="48"/>
      <c r="N282" s="48"/>
      <c r="O282" s="48"/>
    </row>
    <row r="283" spans="2:15" s="46" customFormat="1" ht="15" customHeight="1">
      <c r="B283" s="47"/>
      <c r="C283" s="48"/>
      <c r="D283" s="48"/>
      <c r="E283" s="48"/>
      <c r="F283" s="48"/>
      <c r="G283" s="48"/>
      <c r="H283" s="48"/>
      <c r="I283" s="48"/>
      <c r="J283" s="48"/>
      <c r="K283" s="48"/>
      <c r="L283" s="48"/>
      <c r="M283" s="48"/>
      <c r="N283" s="48"/>
      <c r="O283" s="48"/>
    </row>
    <row r="284" spans="2:15" s="46" customFormat="1" ht="15" customHeight="1">
      <c r="B284" s="47"/>
      <c r="C284" s="48"/>
      <c r="D284" s="48"/>
      <c r="E284" s="48"/>
      <c r="F284" s="48"/>
      <c r="G284" s="48"/>
      <c r="H284" s="48"/>
      <c r="I284" s="48"/>
      <c r="J284" s="48"/>
      <c r="K284" s="48"/>
      <c r="L284" s="48"/>
      <c r="M284" s="48"/>
      <c r="N284" s="48"/>
      <c r="O284" s="48"/>
    </row>
    <row r="285" spans="2:15" s="46" customFormat="1" ht="15" customHeight="1">
      <c r="B285" s="47"/>
      <c r="C285" s="48"/>
      <c r="D285" s="48"/>
      <c r="E285" s="48"/>
      <c r="F285" s="48"/>
      <c r="G285" s="48"/>
      <c r="H285" s="48"/>
      <c r="I285" s="48"/>
      <c r="J285" s="48"/>
      <c r="K285" s="48"/>
      <c r="L285" s="48"/>
      <c r="M285" s="48"/>
      <c r="N285" s="48"/>
      <c r="O285" s="48"/>
    </row>
    <row r="286" spans="2:15" s="46" customFormat="1" ht="15" customHeight="1">
      <c r="B286" s="47"/>
      <c r="C286" s="48"/>
      <c r="D286" s="48"/>
      <c r="E286" s="48"/>
      <c r="F286" s="48"/>
      <c r="G286" s="48"/>
      <c r="H286" s="48"/>
      <c r="I286" s="48"/>
      <c r="J286" s="48"/>
      <c r="K286" s="48"/>
      <c r="L286" s="48"/>
      <c r="M286" s="48"/>
      <c r="N286" s="48"/>
      <c r="O286" s="48"/>
    </row>
    <row r="287" spans="2:15" s="46" customFormat="1" ht="15" customHeight="1">
      <c r="B287" s="47"/>
      <c r="C287" s="48"/>
      <c r="D287" s="48"/>
      <c r="E287" s="48"/>
      <c r="F287" s="48"/>
      <c r="G287" s="48"/>
      <c r="H287" s="48"/>
      <c r="I287" s="48"/>
      <c r="J287" s="48"/>
      <c r="K287" s="48"/>
      <c r="L287" s="48"/>
      <c r="M287" s="48"/>
      <c r="N287" s="48"/>
      <c r="O287" s="48"/>
    </row>
    <row r="288" spans="2:15" s="46" customFormat="1" ht="15" customHeight="1">
      <c r="B288" s="47"/>
      <c r="C288" s="48"/>
      <c r="D288" s="48"/>
      <c r="E288" s="48"/>
      <c r="F288" s="48"/>
      <c r="G288" s="48"/>
      <c r="H288" s="48"/>
      <c r="I288" s="48"/>
      <c r="J288" s="48"/>
      <c r="K288" s="48"/>
      <c r="L288" s="48"/>
      <c r="M288" s="48"/>
      <c r="N288" s="48"/>
      <c r="O288" s="48"/>
    </row>
    <row r="289" spans="2:15" s="46" customFormat="1" ht="15" customHeight="1">
      <c r="B289" s="47"/>
      <c r="C289" s="48"/>
      <c r="D289" s="48"/>
      <c r="E289" s="48"/>
      <c r="F289" s="48"/>
      <c r="G289" s="48"/>
      <c r="H289" s="48"/>
      <c r="I289" s="48"/>
      <c r="J289" s="48"/>
      <c r="K289" s="48"/>
      <c r="L289" s="48"/>
      <c r="M289" s="48"/>
      <c r="N289" s="48"/>
      <c r="O289" s="48"/>
    </row>
    <row r="290" spans="2:15" s="46" customFormat="1" ht="15" customHeight="1">
      <c r="B290" s="47"/>
      <c r="C290" s="48"/>
      <c r="D290" s="48"/>
      <c r="E290" s="48"/>
      <c r="F290" s="48"/>
      <c r="G290" s="48"/>
      <c r="H290" s="48"/>
      <c r="I290" s="48"/>
      <c r="J290" s="48"/>
      <c r="K290" s="48"/>
      <c r="L290" s="48"/>
      <c r="M290" s="48"/>
      <c r="N290" s="48"/>
      <c r="O290" s="48"/>
    </row>
    <row r="291" spans="2:15" s="46" customFormat="1" ht="15" customHeight="1">
      <c r="B291" s="47"/>
      <c r="C291" s="48"/>
      <c r="D291" s="48"/>
      <c r="E291" s="48"/>
      <c r="F291" s="48"/>
      <c r="G291" s="48"/>
      <c r="H291" s="48"/>
      <c r="I291" s="48"/>
      <c r="J291" s="48"/>
      <c r="K291" s="48"/>
      <c r="L291" s="48"/>
      <c r="M291" s="48"/>
      <c r="N291" s="48"/>
      <c r="O291" s="48"/>
    </row>
    <row r="292" spans="2:15" s="46" customFormat="1" ht="15" customHeight="1">
      <c r="B292" s="47"/>
      <c r="C292" s="48"/>
      <c r="D292" s="48"/>
      <c r="E292" s="48"/>
      <c r="F292" s="48"/>
      <c r="G292" s="48"/>
      <c r="H292" s="48"/>
      <c r="I292" s="48"/>
      <c r="J292" s="48"/>
      <c r="K292" s="48"/>
      <c r="L292" s="48"/>
      <c r="M292" s="48"/>
      <c r="N292" s="48"/>
      <c r="O292" s="48"/>
    </row>
    <row r="293" spans="2:15" s="46" customFormat="1" ht="15" customHeight="1">
      <c r="B293" s="47"/>
      <c r="C293" s="48"/>
      <c r="D293" s="48"/>
      <c r="E293" s="48"/>
      <c r="F293" s="48"/>
      <c r="G293" s="48"/>
      <c r="H293" s="48"/>
      <c r="I293" s="48"/>
      <c r="J293" s="48"/>
      <c r="K293" s="48"/>
      <c r="L293" s="48"/>
      <c r="M293" s="48"/>
      <c r="N293" s="48"/>
      <c r="O293" s="48"/>
    </row>
    <row r="294" spans="2:15" s="46" customFormat="1" ht="15" customHeight="1">
      <c r="B294" s="47"/>
      <c r="C294" s="48"/>
      <c r="D294" s="48"/>
      <c r="E294" s="48"/>
      <c r="F294" s="48"/>
      <c r="G294" s="48"/>
      <c r="H294" s="48"/>
      <c r="I294" s="48"/>
      <c r="J294" s="48"/>
      <c r="K294" s="48"/>
      <c r="L294" s="48"/>
      <c r="M294" s="48"/>
      <c r="N294" s="48"/>
      <c r="O294" s="48"/>
    </row>
    <row r="295" spans="2:15" s="46" customFormat="1" ht="15" customHeight="1">
      <c r="B295" s="47"/>
      <c r="C295" s="48"/>
      <c r="D295" s="48"/>
      <c r="E295" s="48"/>
      <c r="F295" s="48"/>
      <c r="G295" s="48"/>
      <c r="H295" s="48"/>
      <c r="I295" s="48"/>
      <c r="J295" s="48"/>
      <c r="K295" s="48"/>
      <c r="L295" s="48"/>
      <c r="M295" s="48"/>
      <c r="N295" s="48"/>
      <c r="O295" s="48"/>
    </row>
    <row r="296" spans="2:15" s="46" customFormat="1" ht="15" customHeight="1">
      <c r="B296" s="47"/>
      <c r="C296" s="48"/>
      <c r="D296" s="48"/>
      <c r="E296" s="48"/>
      <c r="F296" s="48"/>
      <c r="G296" s="48"/>
      <c r="H296" s="48"/>
      <c r="I296" s="48"/>
      <c r="J296" s="48"/>
      <c r="K296" s="48"/>
      <c r="L296" s="48"/>
      <c r="M296" s="48"/>
      <c r="N296" s="48"/>
      <c r="O296" s="48"/>
    </row>
    <row r="297" spans="2:15" s="46" customFormat="1" ht="15" customHeight="1">
      <c r="B297" s="47"/>
      <c r="C297" s="48"/>
      <c r="D297" s="48"/>
      <c r="E297" s="48"/>
      <c r="F297" s="48"/>
      <c r="G297" s="48"/>
      <c r="H297" s="48"/>
      <c r="I297" s="48"/>
      <c r="J297" s="48"/>
      <c r="K297" s="48"/>
      <c r="L297" s="48"/>
      <c r="M297" s="48"/>
      <c r="N297" s="48"/>
      <c r="O297" s="48"/>
    </row>
    <row r="298" spans="2:15" s="46" customFormat="1" ht="15" customHeight="1">
      <c r="B298" s="47"/>
      <c r="C298" s="48"/>
      <c r="D298" s="48"/>
      <c r="E298" s="48"/>
      <c r="F298" s="48"/>
      <c r="G298" s="48"/>
      <c r="H298" s="48"/>
      <c r="I298" s="48"/>
      <c r="J298" s="48"/>
      <c r="K298" s="48"/>
      <c r="L298" s="48"/>
      <c r="M298" s="48"/>
      <c r="N298" s="48"/>
      <c r="O298" s="48"/>
    </row>
    <row r="299" spans="2:15" s="46" customFormat="1" ht="15" customHeight="1">
      <c r="B299" s="47"/>
      <c r="C299" s="48"/>
      <c r="D299" s="48"/>
      <c r="E299" s="48"/>
      <c r="F299" s="48"/>
      <c r="G299" s="48"/>
      <c r="H299" s="48"/>
      <c r="I299" s="48"/>
      <c r="J299" s="48"/>
      <c r="K299" s="48"/>
      <c r="L299" s="48"/>
      <c r="M299" s="48"/>
      <c r="N299" s="48"/>
      <c r="O299" s="48"/>
    </row>
    <row r="300" spans="2:15" s="46" customFormat="1" ht="15" customHeight="1">
      <c r="B300" s="47"/>
      <c r="C300" s="48"/>
      <c r="D300" s="48"/>
      <c r="E300" s="48"/>
      <c r="F300" s="48"/>
      <c r="G300" s="48"/>
      <c r="H300" s="48"/>
      <c r="I300" s="48"/>
      <c r="J300" s="48"/>
      <c r="K300" s="48"/>
      <c r="L300" s="48"/>
      <c r="M300" s="48"/>
      <c r="N300" s="48"/>
      <c r="O300" s="48"/>
    </row>
    <row r="301" spans="2:15" s="46" customFormat="1" ht="15" customHeight="1">
      <c r="B301" s="47"/>
      <c r="C301" s="48"/>
      <c r="D301" s="48"/>
      <c r="E301" s="48"/>
      <c r="F301" s="48"/>
      <c r="G301" s="48"/>
      <c r="H301" s="48"/>
      <c r="I301" s="48"/>
      <c r="J301" s="48"/>
      <c r="K301" s="48"/>
      <c r="L301" s="48"/>
      <c r="M301" s="48"/>
      <c r="N301" s="48"/>
      <c r="O301" s="48"/>
    </row>
    <row r="302" spans="2:15" s="46" customFormat="1" ht="15" customHeight="1">
      <c r="B302" s="47"/>
      <c r="C302" s="48"/>
      <c r="D302" s="48"/>
      <c r="E302" s="48"/>
      <c r="F302" s="48"/>
      <c r="G302" s="48"/>
      <c r="H302" s="48"/>
      <c r="I302" s="48"/>
      <c r="J302" s="48"/>
      <c r="K302" s="48"/>
      <c r="L302" s="48"/>
      <c r="M302" s="48"/>
      <c r="N302" s="48"/>
      <c r="O302" s="48"/>
    </row>
    <row r="303" spans="2:15" s="46" customFormat="1" ht="15" customHeight="1">
      <c r="B303" s="47"/>
      <c r="C303" s="48"/>
      <c r="D303" s="48"/>
      <c r="E303" s="48"/>
      <c r="F303" s="48"/>
      <c r="G303" s="48"/>
      <c r="H303" s="48"/>
      <c r="I303" s="48"/>
      <c r="J303" s="48"/>
      <c r="K303" s="48"/>
      <c r="L303" s="48"/>
      <c r="M303" s="48"/>
      <c r="N303" s="48"/>
      <c r="O303" s="48"/>
    </row>
    <row r="304" spans="2:15" s="46" customFormat="1" ht="15" customHeight="1">
      <c r="B304" s="47"/>
      <c r="C304" s="48"/>
      <c r="D304" s="48"/>
      <c r="E304" s="48"/>
      <c r="F304" s="48"/>
      <c r="G304" s="48"/>
      <c r="H304" s="48"/>
      <c r="I304" s="48"/>
      <c r="J304" s="48"/>
      <c r="K304" s="48"/>
      <c r="L304" s="48"/>
      <c r="M304" s="48"/>
      <c r="N304" s="48"/>
      <c r="O304" s="48"/>
    </row>
    <row r="305" spans="2:15" s="46" customFormat="1" ht="15" customHeight="1">
      <c r="B305" s="47"/>
      <c r="C305" s="48"/>
      <c r="D305" s="48"/>
      <c r="E305" s="48"/>
      <c r="F305" s="48"/>
      <c r="G305" s="48"/>
      <c r="H305" s="48"/>
      <c r="I305" s="48"/>
      <c r="J305" s="48"/>
      <c r="K305" s="48"/>
      <c r="L305" s="48"/>
      <c r="M305" s="48"/>
      <c r="N305" s="48"/>
      <c r="O305" s="48"/>
    </row>
    <row r="306" spans="2:15" s="46" customFormat="1" ht="15" customHeight="1">
      <c r="B306" s="47"/>
      <c r="C306" s="48"/>
      <c r="D306" s="48"/>
      <c r="E306" s="48"/>
      <c r="F306" s="48"/>
      <c r="G306" s="48"/>
      <c r="H306" s="48"/>
      <c r="I306" s="48"/>
      <c r="J306" s="48"/>
      <c r="K306" s="48"/>
      <c r="L306" s="48"/>
      <c r="M306" s="48"/>
      <c r="N306" s="48"/>
      <c r="O306" s="48"/>
    </row>
    <row r="307" spans="2:15" s="46" customFormat="1" ht="15" customHeight="1">
      <c r="B307" s="47"/>
      <c r="C307" s="48"/>
      <c r="D307" s="48"/>
      <c r="E307" s="48"/>
      <c r="F307" s="48"/>
      <c r="G307" s="48"/>
      <c r="H307" s="48"/>
      <c r="I307" s="48"/>
      <c r="J307" s="48"/>
      <c r="K307" s="48"/>
      <c r="L307" s="48"/>
      <c r="M307" s="48"/>
      <c r="N307" s="48"/>
      <c r="O307" s="48"/>
    </row>
    <row r="308" spans="2:15" s="46" customFormat="1" ht="15" customHeight="1">
      <c r="B308" s="47"/>
      <c r="C308" s="48"/>
      <c r="D308" s="48"/>
      <c r="E308" s="48"/>
      <c r="F308" s="48"/>
      <c r="G308" s="48"/>
      <c r="H308" s="48"/>
      <c r="I308" s="48"/>
      <c r="J308" s="48"/>
      <c r="K308" s="48"/>
      <c r="L308" s="48"/>
      <c r="M308" s="48"/>
      <c r="N308" s="48"/>
      <c r="O308" s="48"/>
    </row>
    <row r="309" spans="2:15" s="46" customFormat="1" ht="15" customHeight="1">
      <c r="B309" s="47"/>
      <c r="C309" s="48"/>
      <c r="D309" s="48"/>
      <c r="E309" s="48"/>
      <c r="F309" s="48"/>
      <c r="G309" s="48"/>
      <c r="H309" s="48"/>
      <c r="I309" s="48"/>
      <c r="J309" s="48"/>
      <c r="K309" s="48"/>
      <c r="L309" s="48"/>
      <c r="M309" s="48"/>
      <c r="N309" s="48"/>
      <c r="O309" s="48"/>
    </row>
    <row r="310" spans="2:15" s="46" customFormat="1" ht="15" customHeight="1">
      <c r="B310" s="47"/>
      <c r="C310" s="48"/>
      <c r="D310" s="48"/>
      <c r="E310" s="48"/>
      <c r="F310" s="48"/>
      <c r="G310" s="48"/>
      <c r="H310" s="48"/>
      <c r="I310" s="48"/>
      <c r="J310" s="48"/>
      <c r="K310" s="48"/>
      <c r="L310" s="48"/>
      <c r="M310" s="48"/>
      <c r="N310" s="48"/>
      <c r="O310" s="48"/>
    </row>
    <row r="311" spans="2:15" s="46" customFormat="1" ht="15" customHeight="1">
      <c r="B311" s="47"/>
      <c r="C311" s="48"/>
      <c r="D311" s="48"/>
      <c r="E311" s="48"/>
      <c r="F311" s="48"/>
      <c r="G311" s="48"/>
      <c r="H311" s="48"/>
      <c r="I311" s="48"/>
      <c r="J311" s="48"/>
      <c r="K311" s="48"/>
      <c r="L311" s="48"/>
      <c r="M311" s="48"/>
      <c r="N311" s="48"/>
      <c r="O311" s="48"/>
    </row>
    <row r="312" spans="2:15" s="46" customFormat="1" ht="15" customHeight="1">
      <c r="B312" s="47"/>
      <c r="C312" s="48"/>
      <c r="D312" s="48"/>
      <c r="E312" s="48"/>
      <c r="F312" s="48"/>
      <c r="G312" s="48"/>
      <c r="H312" s="48"/>
      <c r="I312" s="48"/>
      <c r="J312" s="48"/>
      <c r="K312" s="48"/>
      <c r="L312" s="48"/>
      <c r="M312" s="48"/>
      <c r="N312" s="48"/>
      <c r="O312" s="48"/>
    </row>
    <row r="313" spans="2:15" s="46" customFormat="1" ht="15" customHeight="1">
      <c r="B313" s="47"/>
      <c r="C313" s="48"/>
      <c r="D313" s="48"/>
      <c r="E313" s="48"/>
      <c r="F313" s="48"/>
      <c r="G313" s="48"/>
      <c r="H313" s="48"/>
      <c r="I313" s="48"/>
      <c r="J313" s="48"/>
      <c r="K313" s="48"/>
      <c r="L313" s="48"/>
      <c r="M313" s="48"/>
      <c r="N313" s="48"/>
      <c r="O313" s="48"/>
    </row>
    <row r="314" spans="2:15" s="46" customFormat="1" ht="15" customHeight="1">
      <c r="B314" s="47"/>
      <c r="C314" s="48"/>
      <c r="D314" s="48"/>
      <c r="E314" s="48"/>
      <c r="F314" s="48"/>
      <c r="G314" s="48"/>
      <c r="H314" s="48"/>
      <c r="I314" s="48"/>
      <c r="J314" s="48"/>
      <c r="K314" s="48"/>
      <c r="L314" s="48"/>
      <c r="M314" s="48"/>
      <c r="N314" s="48"/>
      <c r="O314" s="48"/>
    </row>
    <row r="315" spans="2:15" s="46" customFormat="1" ht="15" customHeight="1">
      <c r="B315" s="47"/>
      <c r="C315" s="48"/>
      <c r="D315" s="48"/>
      <c r="E315" s="48"/>
      <c r="F315" s="48"/>
      <c r="G315" s="48"/>
      <c r="H315" s="48"/>
      <c r="I315" s="48"/>
      <c r="J315" s="48"/>
      <c r="K315" s="48"/>
      <c r="L315" s="48"/>
      <c r="M315" s="48"/>
      <c r="N315" s="48"/>
      <c r="O315" s="48"/>
    </row>
    <row r="316" spans="2:15" s="46" customFormat="1" ht="15" customHeight="1">
      <c r="B316" s="47"/>
      <c r="C316" s="48"/>
      <c r="D316" s="48"/>
      <c r="E316" s="48"/>
      <c r="F316" s="48"/>
      <c r="G316" s="48"/>
      <c r="H316" s="48"/>
      <c r="I316" s="48"/>
      <c r="J316" s="48"/>
      <c r="K316" s="48"/>
      <c r="L316" s="48"/>
      <c r="M316" s="48"/>
      <c r="N316" s="48"/>
      <c r="O316" s="48"/>
    </row>
    <row r="317" spans="2:15" s="46" customFormat="1" ht="15" customHeight="1">
      <c r="B317" s="47"/>
      <c r="C317" s="48"/>
      <c r="D317" s="48"/>
      <c r="E317" s="48"/>
      <c r="F317" s="48"/>
      <c r="G317" s="48"/>
      <c r="H317" s="48"/>
      <c r="I317" s="48"/>
      <c r="J317" s="48"/>
      <c r="K317" s="48"/>
      <c r="L317" s="48"/>
      <c r="M317" s="48"/>
      <c r="N317" s="48"/>
      <c r="O317" s="48"/>
    </row>
    <row r="318" spans="2:15" s="46" customFormat="1" ht="15" customHeight="1">
      <c r="B318" s="47"/>
      <c r="C318" s="48"/>
      <c r="D318" s="48"/>
      <c r="E318" s="48"/>
      <c r="F318" s="48"/>
      <c r="G318" s="48"/>
      <c r="H318" s="48"/>
      <c r="I318" s="48"/>
      <c r="J318" s="48"/>
      <c r="K318" s="48"/>
      <c r="L318" s="48"/>
      <c r="M318" s="48"/>
      <c r="N318" s="48"/>
      <c r="O318" s="48"/>
    </row>
    <row r="319" spans="2:15" s="46" customFormat="1" ht="15" customHeight="1">
      <c r="B319" s="47"/>
      <c r="C319" s="48"/>
      <c r="D319" s="48"/>
      <c r="E319" s="48"/>
      <c r="F319" s="48"/>
      <c r="G319" s="48"/>
      <c r="H319" s="48"/>
      <c r="I319" s="48"/>
      <c r="J319" s="48"/>
      <c r="K319" s="48"/>
      <c r="L319" s="48"/>
      <c r="M319" s="48"/>
      <c r="N319" s="48"/>
      <c r="O319" s="48"/>
    </row>
    <row r="320" spans="2:15" s="46" customFormat="1" ht="15" customHeight="1">
      <c r="B320" s="47"/>
      <c r="C320" s="48"/>
      <c r="D320" s="48"/>
      <c r="E320" s="48"/>
      <c r="F320" s="48"/>
      <c r="G320" s="48"/>
      <c r="H320" s="48"/>
      <c r="I320" s="48"/>
      <c r="J320" s="48"/>
      <c r="K320" s="48"/>
      <c r="L320" s="48"/>
      <c r="M320" s="48"/>
      <c r="N320" s="48"/>
      <c r="O320" s="48"/>
    </row>
    <row r="321" spans="2:15" s="46" customFormat="1" ht="15" customHeight="1">
      <c r="B321" s="47"/>
      <c r="C321" s="48"/>
      <c r="D321" s="48"/>
      <c r="E321" s="48"/>
      <c r="F321" s="48"/>
      <c r="G321" s="48"/>
      <c r="H321" s="48"/>
      <c r="I321" s="48"/>
      <c r="J321" s="48"/>
      <c r="K321" s="48"/>
      <c r="L321" s="48"/>
      <c r="M321" s="48"/>
      <c r="N321" s="48"/>
      <c r="O321" s="48"/>
    </row>
    <row r="322" spans="2:15" s="46" customFormat="1" ht="15" customHeight="1">
      <c r="B322" s="47"/>
      <c r="C322" s="48"/>
      <c r="D322" s="48"/>
      <c r="E322" s="48"/>
      <c r="F322" s="48"/>
      <c r="G322" s="48"/>
      <c r="H322" s="48"/>
      <c r="I322" s="48"/>
      <c r="J322" s="48"/>
      <c r="K322" s="48"/>
      <c r="L322" s="48"/>
      <c r="M322" s="48"/>
      <c r="N322" s="48"/>
      <c r="O322" s="48"/>
    </row>
    <row r="323" spans="2:15" s="46" customFormat="1" ht="15" customHeight="1">
      <c r="B323" s="47"/>
      <c r="C323" s="48"/>
      <c r="D323" s="48"/>
      <c r="E323" s="48"/>
      <c r="F323" s="48"/>
      <c r="G323" s="48"/>
      <c r="H323" s="48"/>
      <c r="I323" s="48"/>
      <c r="J323" s="48"/>
      <c r="K323" s="48"/>
      <c r="L323" s="48"/>
      <c r="M323" s="48"/>
      <c r="N323" s="48"/>
      <c r="O323" s="48"/>
    </row>
    <row r="324" spans="2:15" s="46" customFormat="1" ht="15" customHeight="1">
      <c r="B324" s="47"/>
      <c r="C324" s="48"/>
      <c r="D324" s="48"/>
      <c r="E324" s="48"/>
      <c r="F324" s="48"/>
      <c r="G324" s="48"/>
      <c r="H324" s="48"/>
      <c r="I324" s="48"/>
      <c r="J324" s="48"/>
      <c r="K324" s="48"/>
      <c r="L324" s="48"/>
      <c r="M324" s="48"/>
      <c r="N324" s="48"/>
      <c r="O324" s="48"/>
    </row>
    <row r="325" spans="2:15" s="46" customFormat="1" ht="15" customHeight="1">
      <c r="B325" s="47"/>
      <c r="C325" s="48"/>
      <c r="D325" s="48"/>
      <c r="E325" s="48"/>
      <c r="F325" s="48"/>
      <c r="G325" s="48"/>
      <c r="H325" s="48"/>
      <c r="I325" s="48"/>
      <c r="J325" s="48"/>
      <c r="K325" s="48"/>
      <c r="L325" s="48"/>
      <c r="M325" s="48"/>
      <c r="N325" s="48"/>
      <c r="O325" s="48"/>
    </row>
    <row r="326" spans="2:15" s="46" customFormat="1" ht="15" customHeight="1">
      <c r="B326" s="47"/>
      <c r="C326" s="48"/>
      <c r="D326" s="48"/>
      <c r="E326" s="48"/>
      <c r="F326" s="48"/>
      <c r="G326" s="48"/>
      <c r="H326" s="48"/>
      <c r="I326" s="48"/>
      <c r="J326" s="48"/>
      <c r="K326" s="48"/>
      <c r="L326" s="48"/>
      <c r="M326" s="48"/>
      <c r="N326" s="48"/>
      <c r="O326" s="48"/>
    </row>
    <row r="327" spans="2:15" s="46" customFormat="1" ht="15" customHeight="1">
      <c r="B327" s="47"/>
      <c r="C327" s="48"/>
      <c r="D327" s="48"/>
      <c r="E327" s="48"/>
      <c r="F327" s="48"/>
      <c r="G327" s="48"/>
      <c r="H327" s="48"/>
      <c r="I327" s="48"/>
      <c r="J327" s="48"/>
      <c r="K327" s="48"/>
      <c r="L327" s="48"/>
      <c r="M327" s="48"/>
      <c r="N327" s="48"/>
      <c r="O327" s="48"/>
    </row>
    <row r="328" spans="2:15" s="46" customFormat="1" ht="15" customHeight="1">
      <c r="B328" s="47"/>
      <c r="C328" s="48"/>
      <c r="D328" s="48"/>
      <c r="E328" s="48"/>
      <c r="F328" s="48"/>
      <c r="G328" s="48"/>
      <c r="H328" s="48"/>
      <c r="I328" s="48"/>
      <c r="J328" s="48"/>
      <c r="K328" s="48"/>
      <c r="L328" s="48"/>
      <c r="M328" s="48"/>
      <c r="N328" s="48"/>
      <c r="O328" s="48"/>
    </row>
    <row r="329" spans="2:15" s="46" customFormat="1" ht="15" customHeight="1">
      <c r="B329" s="47"/>
      <c r="C329" s="48"/>
      <c r="D329" s="48"/>
      <c r="E329" s="48"/>
      <c r="F329" s="48"/>
      <c r="G329" s="48"/>
      <c r="H329" s="48"/>
      <c r="I329" s="48"/>
      <c r="J329" s="48"/>
      <c r="K329" s="48"/>
      <c r="L329" s="48"/>
      <c r="M329" s="48"/>
      <c r="N329" s="48"/>
      <c r="O329" s="48"/>
    </row>
    <row r="330" spans="2:15" s="46" customFormat="1" ht="15" customHeight="1">
      <c r="B330" s="47"/>
      <c r="C330" s="48"/>
      <c r="D330" s="48"/>
      <c r="E330" s="48"/>
      <c r="F330" s="48"/>
      <c r="G330" s="48"/>
      <c r="H330" s="48"/>
      <c r="I330" s="48"/>
      <c r="J330" s="48"/>
      <c r="K330" s="48"/>
      <c r="L330" s="48"/>
      <c r="M330" s="48"/>
      <c r="N330" s="48"/>
      <c r="O330" s="48"/>
    </row>
    <row r="331" spans="2:15" s="46" customFormat="1" ht="15" customHeight="1">
      <c r="B331" s="47"/>
      <c r="C331" s="48"/>
      <c r="D331" s="48"/>
      <c r="E331" s="48"/>
      <c r="F331" s="48"/>
      <c r="G331" s="48"/>
      <c r="H331" s="48"/>
      <c r="I331" s="48"/>
      <c r="J331" s="48"/>
      <c r="K331" s="48"/>
      <c r="L331" s="48"/>
      <c r="M331" s="48"/>
      <c r="N331" s="48"/>
      <c r="O331" s="48"/>
    </row>
    <row r="332" spans="2:15" s="46" customFormat="1" ht="15" customHeight="1">
      <c r="B332" s="47"/>
      <c r="C332" s="48"/>
      <c r="D332" s="48"/>
      <c r="E332" s="48"/>
      <c r="F332" s="48"/>
      <c r="G332" s="48"/>
      <c r="H332" s="48"/>
      <c r="I332" s="48"/>
      <c r="J332" s="48"/>
      <c r="K332" s="48"/>
      <c r="L332" s="48"/>
      <c r="M332" s="48"/>
      <c r="N332" s="48"/>
      <c r="O332" s="48"/>
    </row>
    <row r="333" spans="2:15" s="46" customFormat="1" ht="15" customHeight="1">
      <c r="B333" s="47"/>
      <c r="C333" s="48"/>
      <c r="D333" s="48"/>
      <c r="E333" s="48"/>
      <c r="F333" s="48"/>
      <c r="G333" s="48"/>
      <c r="H333" s="48"/>
      <c r="I333" s="48"/>
      <c r="J333" s="48"/>
      <c r="K333" s="48"/>
      <c r="L333" s="48"/>
      <c r="M333" s="48"/>
      <c r="N333" s="48"/>
      <c r="O333" s="48"/>
    </row>
    <row r="334" spans="2:15" s="46" customFormat="1" ht="15" customHeight="1">
      <c r="B334" s="47"/>
      <c r="C334" s="48"/>
      <c r="D334" s="48"/>
      <c r="E334" s="48"/>
      <c r="F334" s="48"/>
      <c r="G334" s="48"/>
      <c r="H334" s="48"/>
      <c r="I334" s="48"/>
      <c r="J334" s="48"/>
      <c r="K334" s="48"/>
      <c r="L334" s="48"/>
      <c r="M334" s="48"/>
      <c r="N334" s="48"/>
      <c r="O334" s="48"/>
    </row>
    <row r="335" spans="2:15" s="46" customFormat="1" ht="15" customHeight="1">
      <c r="B335" s="47"/>
      <c r="C335" s="48"/>
      <c r="D335" s="48"/>
      <c r="E335" s="48"/>
      <c r="F335" s="48"/>
      <c r="G335" s="48"/>
      <c r="H335" s="48"/>
      <c r="I335" s="48"/>
      <c r="J335" s="48"/>
      <c r="K335" s="48"/>
      <c r="L335" s="48"/>
      <c r="M335" s="48"/>
      <c r="N335" s="48"/>
      <c r="O335" s="48"/>
    </row>
    <row r="336" spans="2:15" s="46" customFormat="1" ht="15" customHeight="1">
      <c r="B336" s="47"/>
      <c r="C336" s="48"/>
      <c r="D336" s="48"/>
      <c r="E336" s="48"/>
      <c r="F336" s="48"/>
      <c r="G336" s="48"/>
      <c r="H336" s="48"/>
      <c r="I336" s="48"/>
      <c r="J336" s="48"/>
      <c r="K336" s="48"/>
      <c r="L336" s="48"/>
      <c r="M336" s="48"/>
      <c r="N336" s="48"/>
      <c r="O336" s="48"/>
    </row>
    <row r="337" spans="2:15" s="46" customFormat="1" ht="15" customHeight="1">
      <c r="B337" s="47"/>
      <c r="C337" s="48"/>
      <c r="D337" s="48"/>
      <c r="E337" s="48"/>
      <c r="F337" s="48"/>
      <c r="G337" s="48"/>
      <c r="H337" s="48"/>
      <c r="I337" s="48"/>
      <c r="J337" s="48"/>
      <c r="K337" s="48"/>
      <c r="L337" s="48"/>
      <c r="M337" s="48"/>
      <c r="N337" s="48"/>
      <c r="O337" s="48"/>
    </row>
    <row r="338" spans="2:15" s="46" customFormat="1" ht="15" customHeight="1">
      <c r="B338" s="47"/>
      <c r="C338" s="48"/>
      <c r="D338" s="48"/>
      <c r="E338" s="48"/>
      <c r="F338" s="48"/>
      <c r="G338" s="48"/>
      <c r="H338" s="48"/>
      <c r="I338" s="48"/>
      <c r="J338" s="48"/>
      <c r="K338" s="48"/>
      <c r="L338" s="48"/>
      <c r="M338" s="48"/>
      <c r="N338" s="48"/>
      <c r="O338" s="48"/>
    </row>
    <row r="339" spans="2:15" s="46" customFormat="1" ht="15" customHeight="1">
      <c r="B339" s="47"/>
      <c r="C339" s="48"/>
      <c r="D339" s="48"/>
      <c r="E339" s="48"/>
      <c r="F339" s="48"/>
      <c r="G339" s="48"/>
      <c r="H339" s="48"/>
      <c r="I339" s="48"/>
      <c r="J339" s="48"/>
      <c r="K339" s="48"/>
      <c r="L339" s="48"/>
      <c r="M339" s="48"/>
      <c r="N339" s="48"/>
      <c r="O339" s="48"/>
    </row>
    <row r="340" spans="2:15" s="46" customFormat="1" ht="15" customHeight="1">
      <c r="B340" s="47"/>
      <c r="C340" s="48"/>
      <c r="D340" s="48"/>
      <c r="E340" s="48"/>
      <c r="F340" s="48"/>
      <c r="G340" s="48"/>
      <c r="H340" s="48"/>
      <c r="I340" s="48"/>
      <c r="J340" s="48"/>
      <c r="K340" s="48"/>
      <c r="L340" s="48"/>
      <c r="M340" s="48"/>
      <c r="N340" s="48"/>
      <c r="O340" s="48"/>
    </row>
    <row r="341" spans="2:15" s="46" customFormat="1" ht="15" customHeight="1">
      <c r="B341" s="47"/>
      <c r="C341" s="48"/>
      <c r="D341" s="48"/>
      <c r="E341" s="48"/>
      <c r="F341" s="48"/>
      <c r="G341" s="48"/>
      <c r="H341" s="48"/>
      <c r="I341" s="48"/>
      <c r="J341" s="48"/>
      <c r="K341" s="48"/>
      <c r="L341" s="48"/>
      <c r="M341" s="48"/>
      <c r="N341" s="48"/>
      <c r="O341" s="48"/>
    </row>
    <row r="342" spans="2:15" s="46" customFormat="1" ht="15" customHeight="1">
      <c r="B342" s="47"/>
      <c r="C342" s="48"/>
      <c r="D342" s="48"/>
      <c r="E342" s="48"/>
      <c r="F342" s="48"/>
      <c r="G342" s="48"/>
      <c r="H342" s="48"/>
      <c r="I342" s="48"/>
      <c r="J342" s="48"/>
      <c r="K342" s="48"/>
      <c r="L342" s="48"/>
      <c r="M342" s="48"/>
      <c r="N342" s="48"/>
      <c r="O342" s="48"/>
    </row>
    <row r="343" spans="2:15" s="46" customFormat="1" ht="15" customHeight="1">
      <c r="B343" s="47"/>
      <c r="C343" s="48"/>
      <c r="D343" s="48"/>
      <c r="E343" s="48"/>
      <c r="F343" s="48"/>
      <c r="G343" s="48"/>
      <c r="H343" s="48"/>
      <c r="I343" s="48"/>
      <c r="J343" s="48"/>
      <c r="K343" s="48"/>
      <c r="L343" s="48"/>
      <c r="M343" s="48"/>
      <c r="N343" s="48"/>
      <c r="O343" s="48"/>
    </row>
    <row r="344" spans="2:15" s="46" customFormat="1" ht="15" customHeight="1">
      <c r="B344" s="47"/>
      <c r="C344" s="48"/>
      <c r="D344" s="48"/>
      <c r="E344" s="48"/>
      <c r="F344" s="48"/>
      <c r="G344" s="48"/>
      <c r="H344" s="48"/>
      <c r="I344" s="48"/>
      <c r="J344" s="48"/>
      <c r="K344" s="48"/>
      <c r="L344" s="48"/>
      <c r="M344" s="48"/>
      <c r="N344" s="48"/>
      <c r="O344" s="48"/>
    </row>
    <row r="345" spans="2:15" s="46" customFormat="1" ht="15" customHeight="1">
      <c r="B345" s="47"/>
      <c r="C345" s="48"/>
      <c r="D345" s="48"/>
      <c r="E345" s="48"/>
      <c r="F345" s="48"/>
      <c r="G345" s="48"/>
      <c r="H345" s="48"/>
      <c r="I345" s="48"/>
      <c r="J345" s="48"/>
      <c r="K345" s="48"/>
      <c r="L345" s="48"/>
      <c r="M345" s="48"/>
      <c r="N345" s="48"/>
      <c r="O345" s="48"/>
    </row>
    <row r="346" spans="2:15" s="46" customFormat="1" ht="15" customHeight="1">
      <c r="B346" s="47"/>
      <c r="C346" s="48"/>
      <c r="D346" s="48"/>
      <c r="E346" s="48"/>
      <c r="F346" s="48"/>
      <c r="G346" s="48"/>
      <c r="H346" s="48"/>
      <c r="I346" s="48"/>
      <c r="J346" s="48"/>
      <c r="K346" s="48"/>
      <c r="L346" s="48"/>
      <c r="M346" s="48"/>
      <c r="N346" s="48"/>
      <c r="O346" s="48"/>
    </row>
    <row r="347" spans="2:15" s="46" customFormat="1" ht="15" customHeight="1">
      <c r="B347" s="47"/>
      <c r="C347" s="48"/>
      <c r="D347" s="48"/>
      <c r="E347" s="48"/>
      <c r="F347" s="48"/>
      <c r="G347" s="48"/>
      <c r="H347" s="48"/>
      <c r="I347" s="48"/>
      <c r="J347" s="48"/>
      <c r="K347" s="48"/>
      <c r="L347" s="48"/>
      <c r="M347" s="48"/>
      <c r="N347" s="48"/>
      <c r="O347" s="48"/>
    </row>
    <row r="348" spans="2:15" s="46" customFormat="1" ht="15" customHeight="1">
      <c r="B348" s="47"/>
      <c r="C348" s="48"/>
      <c r="D348" s="48"/>
      <c r="E348" s="48"/>
      <c r="F348" s="48"/>
      <c r="G348" s="48"/>
      <c r="H348" s="48"/>
      <c r="I348" s="48"/>
      <c r="J348" s="48"/>
      <c r="K348" s="48"/>
      <c r="L348" s="48"/>
      <c r="M348" s="48"/>
      <c r="N348" s="48"/>
      <c r="O348" s="48"/>
    </row>
    <row r="349" spans="2:15" s="46" customFormat="1" ht="15" customHeight="1">
      <c r="B349" s="47"/>
      <c r="C349" s="48"/>
      <c r="D349" s="48"/>
      <c r="E349" s="48"/>
      <c r="F349" s="48"/>
      <c r="G349" s="48"/>
      <c r="H349" s="48"/>
      <c r="I349" s="48"/>
      <c r="J349" s="48"/>
      <c r="K349" s="48"/>
      <c r="L349" s="48"/>
      <c r="M349" s="48"/>
      <c r="N349" s="48"/>
      <c r="O349" s="48"/>
    </row>
    <row r="350" spans="2:15" s="46" customFormat="1" ht="15" customHeight="1">
      <c r="B350" s="47"/>
      <c r="C350" s="48"/>
      <c r="D350" s="48"/>
      <c r="E350" s="48"/>
      <c r="F350" s="48"/>
      <c r="G350" s="48"/>
      <c r="H350" s="48"/>
      <c r="I350" s="48"/>
      <c r="J350" s="48"/>
      <c r="K350" s="48"/>
      <c r="L350" s="48"/>
      <c r="M350" s="48"/>
      <c r="N350" s="48"/>
      <c r="O350" s="48"/>
    </row>
    <row r="351" spans="2:15" s="46" customFormat="1" ht="15" customHeight="1">
      <c r="B351" s="47"/>
      <c r="C351" s="48"/>
      <c r="D351" s="48"/>
      <c r="E351" s="48"/>
      <c r="F351" s="48"/>
      <c r="G351" s="48"/>
      <c r="H351" s="48"/>
      <c r="I351" s="48"/>
      <c r="J351" s="48"/>
      <c r="K351" s="48"/>
      <c r="L351" s="48"/>
      <c r="M351" s="48"/>
      <c r="N351" s="48"/>
      <c r="O351" s="48"/>
    </row>
    <row r="352" spans="2:15" s="46" customFormat="1" ht="15" customHeight="1">
      <c r="B352" s="47"/>
      <c r="C352" s="48"/>
      <c r="D352" s="48"/>
      <c r="E352" s="48"/>
      <c r="F352" s="48"/>
      <c r="G352" s="48"/>
      <c r="H352" s="48"/>
      <c r="I352" s="48"/>
      <c r="J352" s="48"/>
      <c r="K352" s="48"/>
      <c r="L352" s="48"/>
      <c r="M352" s="48"/>
      <c r="N352" s="48"/>
      <c r="O352" s="48"/>
    </row>
    <row r="353" spans="2:15" s="46" customFormat="1" ht="15" customHeight="1">
      <c r="B353" s="47"/>
      <c r="C353" s="48"/>
      <c r="D353" s="48"/>
      <c r="E353" s="48"/>
      <c r="F353" s="48"/>
      <c r="G353" s="48"/>
      <c r="H353" s="48"/>
      <c r="I353" s="48"/>
      <c r="J353" s="48"/>
      <c r="K353" s="48"/>
      <c r="L353" s="48"/>
      <c r="M353" s="48"/>
      <c r="N353" s="48"/>
      <c r="O353" s="48"/>
    </row>
    <row r="354" spans="2:15" s="46" customFormat="1" ht="15" customHeight="1">
      <c r="B354" s="47"/>
      <c r="C354" s="48"/>
      <c r="D354" s="48"/>
      <c r="E354" s="48"/>
      <c r="F354" s="48"/>
      <c r="G354" s="48"/>
      <c r="H354" s="48"/>
      <c r="I354" s="48"/>
      <c r="J354" s="48"/>
      <c r="K354" s="48"/>
      <c r="L354" s="48"/>
      <c r="M354" s="48"/>
      <c r="N354" s="48"/>
      <c r="O354" s="48"/>
    </row>
    <row r="355" spans="2:15" s="46" customFormat="1" ht="15" customHeight="1">
      <c r="B355" s="47"/>
      <c r="C355" s="48"/>
      <c r="D355" s="48"/>
      <c r="E355" s="48"/>
      <c r="F355" s="48"/>
      <c r="G355" s="48"/>
      <c r="H355" s="48"/>
      <c r="I355" s="48"/>
      <c r="J355" s="48"/>
      <c r="K355" s="48"/>
      <c r="L355" s="48"/>
      <c r="M355" s="48"/>
      <c r="N355" s="48"/>
      <c r="O355" s="48"/>
    </row>
    <row r="356" spans="2:15" s="46" customFormat="1" ht="15" customHeight="1">
      <c r="B356" s="47"/>
      <c r="C356" s="48"/>
      <c r="D356" s="48"/>
      <c r="E356" s="48"/>
      <c r="F356" s="48"/>
      <c r="G356" s="48"/>
      <c r="H356" s="48"/>
      <c r="I356" s="48"/>
      <c r="J356" s="48"/>
      <c r="K356" s="48"/>
      <c r="L356" s="48"/>
      <c r="M356" s="48"/>
      <c r="N356" s="48"/>
      <c r="O356" s="48"/>
    </row>
    <row r="357" spans="2:15" s="46" customFormat="1" ht="15" customHeight="1">
      <c r="B357" s="47"/>
      <c r="C357" s="48"/>
      <c r="D357" s="48"/>
      <c r="E357" s="48"/>
      <c r="F357" s="48"/>
      <c r="G357" s="48"/>
      <c r="H357" s="48"/>
      <c r="I357" s="48"/>
      <c r="J357" s="48"/>
      <c r="K357" s="48"/>
      <c r="L357" s="48"/>
      <c r="M357" s="48"/>
      <c r="N357" s="48"/>
      <c r="O357" s="48"/>
    </row>
    <row r="358" spans="2:15" s="46" customFormat="1" ht="15" customHeight="1">
      <c r="B358" s="47"/>
      <c r="C358" s="48"/>
      <c r="D358" s="48"/>
      <c r="E358" s="48"/>
      <c r="F358" s="48"/>
      <c r="G358" s="48"/>
      <c r="H358" s="48"/>
      <c r="I358" s="48"/>
      <c r="J358" s="48"/>
      <c r="K358" s="48"/>
      <c r="L358" s="48"/>
      <c r="M358" s="48"/>
      <c r="N358" s="48"/>
      <c r="O358" s="48"/>
    </row>
    <row r="359" spans="2:15" s="46" customFormat="1" ht="15" customHeight="1">
      <c r="B359" s="47"/>
      <c r="C359" s="48"/>
      <c r="D359" s="48"/>
      <c r="E359" s="48"/>
      <c r="F359" s="48"/>
      <c r="G359" s="48"/>
      <c r="H359" s="48"/>
      <c r="I359" s="48"/>
      <c r="J359" s="48"/>
      <c r="K359" s="48"/>
      <c r="L359" s="48"/>
      <c r="M359" s="48"/>
      <c r="N359" s="48"/>
      <c r="O359" s="48"/>
    </row>
    <row r="360" spans="2:15" s="46" customFormat="1" ht="15" customHeight="1">
      <c r="B360" s="47"/>
      <c r="C360" s="48"/>
      <c r="D360" s="48"/>
      <c r="E360" s="48"/>
      <c r="F360" s="48"/>
      <c r="G360" s="48"/>
      <c r="H360" s="48"/>
      <c r="I360" s="48"/>
      <c r="J360" s="48"/>
      <c r="K360" s="48"/>
      <c r="L360" s="48"/>
      <c r="M360" s="48"/>
      <c r="N360" s="48"/>
      <c r="O360" s="48"/>
    </row>
    <row r="361" spans="2:15" s="46" customFormat="1" ht="15" customHeight="1">
      <c r="B361" s="47"/>
      <c r="C361" s="48"/>
      <c r="D361" s="48"/>
      <c r="E361" s="48"/>
      <c r="F361" s="48"/>
      <c r="G361" s="48"/>
      <c r="H361" s="48"/>
      <c r="I361" s="48"/>
      <c r="J361" s="48"/>
      <c r="K361" s="48"/>
      <c r="L361" s="48"/>
      <c r="M361" s="48"/>
      <c r="N361" s="48"/>
      <c r="O361" s="48"/>
    </row>
    <row r="362" spans="2:15" s="46" customFormat="1" ht="15" customHeight="1">
      <c r="B362" s="47"/>
      <c r="C362" s="48"/>
      <c r="D362" s="48"/>
      <c r="E362" s="48"/>
      <c r="F362" s="48"/>
      <c r="G362" s="48"/>
      <c r="H362" s="48"/>
      <c r="I362" s="48"/>
      <c r="J362" s="48"/>
      <c r="K362" s="48"/>
      <c r="L362" s="48"/>
      <c r="M362" s="48"/>
      <c r="N362" s="48"/>
      <c r="O362" s="48"/>
    </row>
    <row r="363" spans="2:15" s="46" customFormat="1" ht="15" customHeight="1">
      <c r="B363" s="47"/>
      <c r="C363" s="48"/>
      <c r="D363" s="48"/>
      <c r="E363" s="48"/>
      <c r="F363" s="48"/>
      <c r="G363" s="48"/>
      <c r="H363" s="48"/>
      <c r="I363" s="48"/>
      <c r="J363" s="48"/>
      <c r="K363" s="48"/>
      <c r="L363" s="48"/>
      <c r="M363" s="48"/>
      <c r="N363" s="48"/>
      <c r="O363" s="48"/>
    </row>
    <row r="364" spans="2:15" s="46" customFormat="1" ht="15" customHeight="1">
      <c r="B364" s="47"/>
      <c r="C364" s="48"/>
      <c r="D364" s="48"/>
      <c r="E364" s="48"/>
      <c r="F364" s="48"/>
      <c r="G364" s="48"/>
      <c r="H364" s="48"/>
      <c r="I364" s="48"/>
      <c r="J364" s="48"/>
      <c r="K364" s="48"/>
      <c r="L364" s="48"/>
      <c r="M364" s="48"/>
      <c r="N364" s="48"/>
      <c r="O364" s="48"/>
    </row>
    <row r="365" spans="2:15" s="46" customFormat="1" ht="15" customHeight="1">
      <c r="B365" s="47"/>
      <c r="C365" s="48"/>
      <c r="D365" s="48"/>
      <c r="E365" s="48"/>
      <c r="F365" s="48"/>
      <c r="G365" s="48"/>
      <c r="H365" s="48"/>
      <c r="I365" s="48"/>
      <c r="J365" s="48"/>
      <c r="K365" s="48"/>
      <c r="L365" s="48"/>
      <c r="M365" s="48"/>
      <c r="N365" s="48"/>
      <c r="O365" s="48"/>
    </row>
    <row r="366" spans="2:15" s="46" customFormat="1" ht="15" customHeight="1">
      <c r="B366" s="47"/>
      <c r="C366" s="48"/>
      <c r="D366" s="48"/>
      <c r="E366" s="48"/>
      <c r="F366" s="48"/>
      <c r="G366" s="48"/>
      <c r="H366" s="48"/>
      <c r="I366" s="48"/>
      <c r="J366" s="48"/>
      <c r="K366" s="48"/>
      <c r="L366" s="48"/>
      <c r="M366" s="48"/>
      <c r="N366" s="48"/>
      <c r="O366" s="48"/>
    </row>
    <row r="367" spans="2:15" s="46" customFormat="1" ht="15" customHeight="1">
      <c r="B367" s="47"/>
      <c r="C367" s="48"/>
      <c r="D367" s="48"/>
      <c r="E367" s="48"/>
      <c r="F367" s="48"/>
      <c r="G367" s="48"/>
      <c r="H367" s="48"/>
      <c r="I367" s="48"/>
      <c r="J367" s="48"/>
      <c r="K367" s="48"/>
      <c r="L367" s="48"/>
      <c r="M367" s="48"/>
      <c r="N367" s="48"/>
      <c r="O367" s="48"/>
    </row>
    <row r="368" spans="2:15" s="46" customFormat="1" ht="15" customHeight="1">
      <c r="B368" s="47"/>
      <c r="C368" s="48"/>
      <c r="D368" s="48"/>
      <c r="E368" s="48"/>
      <c r="F368" s="48"/>
      <c r="G368" s="48"/>
      <c r="H368" s="48"/>
      <c r="I368" s="48"/>
      <c r="J368" s="48"/>
      <c r="K368" s="48"/>
      <c r="L368" s="48"/>
      <c r="M368" s="48"/>
      <c r="N368" s="48"/>
      <c r="O368" s="48"/>
    </row>
    <row r="369" spans="2:15" s="46" customFormat="1" ht="15" customHeight="1">
      <c r="B369" s="47"/>
      <c r="C369" s="48"/>
      <c r="D369" s="48"/>
      <c r="E369" s="48"/>
      <c r="F369" s="48"/>
      <c r="G369" s="48"/>
      <c r="H369" s="48"/>
      <c r="I369" s="48"/>
      <c r="J369" s="48"/>
      <c r="K369" s="48"/>
      <c r="L369" s="48"/>
      <c r="M369" s="48"/>
      <c r="N369" s="48"/>
      <c r="O369" s="48"/>
    </row>
    <row r="370" spans="2:15" s="46" customFormat="1" ht="15" customHeight="1">
      <c r="B370" s="47"/>
      <c r="C370" s="48"/>
      <c r="D370" s="48"/>
      <c r="E370" s="48"/>
      <c r="F370" s="48"/>
      <c r="G370" s="48"/>
      <c r="H370" s="48"/>
      <c r="I370" s="48"/>
      <c r="J370" s="48"/>
      <c r="K370" s="48"/>
      <c r="L370" s="48"/>
      <c r="M370" s="48"/>
      <c r="N370" s="48"/>
      <c r="O370" s="48"/>
    </row>
    <row r="371" spans="2:15" s="46" customFormat="1" ht="15" customHeight="1">
      <c r="B371" s="47"/>
      <c r="C371" s="48"/>
      <c r="D371" s="48"/>
      <c r="E371" s="48"/>
      <c r="F371" s="48"/>
      <c r="G371" s="48"/>
      <c r="H371" s="48"/>
      <c r="I371" s="48"/>
      <c r="J371" s="48"/>
      <c r="K371" s="48"/>
      <c r="L371" s="48"/>
      <c r="M371" s="48"/>
      <c r="N371" s="48"/>
      <c r="O371" s="48"/>
    </row>
    <row r="372" spans="2:15" s="46" customFormat="1" ht="15" customHeight="1">
      <c r="B372" s="47"/>
      <c r="C372" s="48"/>
      <c r="D372" s="48"/>
      <c r="E372" s="48"/>
      <c r="F372" s="48"/>
      <c r="G372" s="48"/>
      <c r="H372" s="48"/>
      <c r="I372" s="48"/>
      <c r="J372" s="48"/>
      <c r="K372" s="48"/>
      <c r="L372" s="48"/>
      <c r="M372" s="48"/>
      <c r="N372" s="48"/>
      <c r="O372" s="48"/>
    </row>
    <row r="373" spans="2:15" s="46" customFormat="1" ht="15" customHeight="1">
      <c r="B373" s="47"/>
      <c r="C373" s="48"/>
      <c r="D373" s="48"/>
      <c r="E373" s="48"/>
      <c r="F373" s="48"/>
      <c r="G373" s="48"/>
      <c r="H373" s="48"/>
      <c r="I373" s="48"/>
      <c r="J373" s="48"/>
      <c r="K373" s="48"/>
      <c r="L373" s="48"/>
      <c r="M373" s="48"/>
      <c r="N373" s="48"/>
      <c r="O373" s="48"/>
    </row>
    <row r="374" spans="2:15" s="46" customFormat="1" ht="15" customHeight="1">
      <c r="B374" s="47"/>
      <c r="C374" s="48"/>
      <c r="D374" s="48"/>
      <c r="E374" s="48"/>
      <c r="F374" s="48"/>
      <c r="G374" s="48"/>
      <c r="H374" s="48"/>
      <c r="I374" s="48"/>
      <c r="J374" s="48"/>
      <c r="K374" s="48"/>
      <c r="L374" s="48"/>
      <c r="M374" s="48"/>
      <c r="N374" s="48"/>
      <c r="O374" s="48"/>
    </row>
    <row r="375" spans="2:15" s="46" customFormat="1" ht="15" customHeight="1">
      <c r="B375" s="47"/>
      <c r="C375" s="48"/>
      <c r="D375" s="48"/>
      <c r="E375" s="48"/>
      <c r="F375" s="48"/>
      <c r="G375" s="48"/>
      <c r="H375" s="48"/>
      <c r="I375" s="48"/>
      <c r="J375" s="48"/>
      <c r="K375" s="48"/>
      <c r="L375" s="48"/>
      <c r="M375" s="48"/>
      <c r="N375" s="48"/>
      <c r="O375" s="48"/>
    </row>
    <row r="376" spans="2:15" s="46" customFormat="1" ht="15" customHeight="1">
      <c r="B376" s="47"/>
      <c r="C376" s="48"/>
      <c r="D376" s="48"/>
      <c r="E376" s="48"/>
      <c r="F376" s="48"/>
      <c r="G376" s="48"/>
      <c r="H376" s="48"/>
      <c r="I376" s="48"/>
      <c r="J376" s="48"/>
      <c r="K376" s="48"/>
      <c r="L376" s="48"/>
      <c r="M376" s="48"/>
      <c r="N376" s="48"/>
      <c r="O376" s="48"/>
    </row>
    <row r="377" spans="2:15" s="46" customFormat="1" ht="15" customHeight="1">
      <c r="B377" s="47"/>
      <c r="C377" s="48"/>
      <c r="D377" s="48"/>
      <c r="E377" s="48"/>
      <c r="F377" s="48"/>
      <c r="G377" s="48"/>
      <c r="H377" s="48"/>
      <c r="I377" s="48"/>
      <c r="J377" s="48"/>
      <c r="K377" s="48"/>
      <c r="L377" s="48"/>
      <c r="M377" s="48"/>
      <c r="N377" s="48"/>
      <c r="O377" s="48"/>
    </row>
    <row r="378" spans="2:15" s="46" customFormat="1" ht="15" customHeight="1">
      <c r="B378" s="47"/>
      <c r="C378" s="48"/>
      <c r="D378" s="48"/>
      <c r="E378" s="48"/>
      <c r="F378" s="48"/>
      <c r="G378" s="48"/>
      <c r="H378" s="48"/>
      <c r="I378" s="48"/>
      <c r="J378" s="48"/>
      <c r="K378" s="48"/>
      <c r="L378" s="48"/>
      <c r="M378" s="48"/>
      <c r="N378" s="48"/>
      <c r="O378" s="48"/>
    </row>
    <row r="379" spans="2:15" s="46" customFormat="1" ht="15" customHeight="1">
      <c r="B379" s="47"/>
      <c r="C379" s="48"/>
      <c r="D379" s="48"/>
      <c r="E379" s="48"/>
      <c r="F379" s="48"/>
      <c r="G379" s="48"/>
      <c r="H379" s="48"/>
      <c r="I379" s="48"/>
      <c r="J379" s="48"/>
      <c r="K379" s="48"/>
      <c r="L379" s="48"/>
      <c r="M379" s="48"/>
      <c r="N379" s="48"/>
      <c r="O379" s="48"/>
    </row>
    <row r="380" spans="2:15" s="46" customFormat="1" ht="15" customHeight="1">
      <c r="B380" s="47"/>
      <c r="C380" s="48"/>
      <c r="D380" s="48"/>
      <c r="E380" s="48"/>
      <c r="F380" s="48"/>
      <c r="G380" s="48"/>
      <c r="H380" s="48"/>
      <c r="I380" s="48"/>
      <c r="J380" s="48"/>
      <c r="K380" s="48"/>
      <c r="L380" s="48"/>
      <c r="M380" s="48"/>
      <c r="N380" s="48"/>
      <c r="O380" s="48"/>
    </row>
    <row r="381" spans="2:15" s="46" customFormat="1" ht="15" customHeight="1">
      <c r="B381" s="47"/>
      <c r="C381" s="48"/>
      <c r="D381" s="48"/>
      <c r="E381" s="48"/>
      <c r="F381" s="48"/>
      <c r="G381" s="48"/>
      <c r="H381" s="48"/>
      <c r="I381" s="48"/>
      <c r="J381" s="48"/>
      <c r="K381" s="48"/>
      <c r="L381" s="48"/>
      <c r="M381" s="48"/>
      <c r="N381" s="48"/>
      <c r="O381" s="48"/>
    </row>
    <row r="382" spans="2:15" s="46" customFormat="1" ht="15" customHeight="1">
      <c r="B382" s="47"/>
      <c r="C382" s="48"/>
      <c r="D382" s="48"/>
      <c r="E382" s="48"/>
      <c r="F382" s="48"/>
      <c r="G382" s="48"/>
      <c r="H382" s="48"/>
      <c r="I382" s="48"/>
      <c r="J382" s="48"/>
      <c r="K382" s="48"/>
      <c r="L382" s="48"/>
      <c r="M382" s="48"/>
      <c r="N382" s="48"/>
      <c r="O382" s="48"/>
    </row>
    <row r="383" spans="2:15" s="46" customFormat="1" ht="15" customHeight="1">
      <c r="B383" s="47"/>
      <c r="C383" s="48"/>
      <c r="D383" s="48"/>
      <c r="E383" s="48"/>
      <c r="F383" s="48"/>
      <c r="G383" s="48"/>
      <c r="H383" s="48"/>
      <c r="I383" s="48"/>
      <c r="J383" s="48"/>
      <c r="K383" s="48"/>
      <c r="L383" s="48"/>
      <c r="M383" s="48"/>
      <c r="N383" s="48"/>
      <c r="O383" s="48"/>
    </row>
    <row r="384" spans="2:15" s="46" customFormat="1" ht="15" customHeight="1">
      <c r="B384" s="47"/>
      <c r="C384" s="48"/>
      <c r="D384" s="48"/>
      <c r="E384" s="48"/>
      <c r="F384" s="48"/>
      <c r="G384" s="48"/>
      <c r="H384" s="48"/>
      <c r="I384" s="48"/>
      <c r="J384" s="48"/>
      <c r="K384" s="48"/>
      <c r="L384" s="48"/>
      <c r="M384" s="48"/>
      <c r="N384" s="48"/>
      <c r="O384" s="48"/>
    </row>
    <row r="385" spans="2:15" s="46" customFormat="1" ht="15" customHeight="1">
      <c r="B385" s="47"/>
      <c r="C385" s="48"/>
      <c r="D385" s="48"/>
      <c r="E385" s="48"/>
      <c r="F385" s="48"/>
      <c r="G385" s="48"/>
      <c r="H385" s="48"/>
      <c r="I385" s="48"/>
      <c r="J385" s="48"/>
      <c r="K385" s="48"/>
      <c r="L385" s="48"/>
      <c r="M385" s="48"/>
      <c r="N385" s="48"/>
      <c r="O385" s="48"/>
    </row>
    <row r="386" spans="2:15" s="46" customFormat="1" ht="15" customHeight="1">
      <c r="B386" s="47"/>
      <c r="C386" s="48"/>
      <c r="D386" s="48"/>
      <c r="E386" s="48"/>
      <c r="F386" s="48"/>
      <c r="G386" s="48"/>
      <c r="H386" s="48"/>
      <c r="I386" s="48"/>
      <c r="J386" s="48"/>
      <c r="K386" s="48"/>
      <c r="L386" s="48"/>
      <c r="M386" s="48"/>
      <c r="N386" s="48"/>
      <c r="O386" s="48"/>
    </row>
    <row r="387" spans="2:15" s="46" customFormat="1" ht="15" customHeight="1">
      <c r="B387" s="47"/>
      <c r="C387" s="48"/>
      <c r="D387" s="48"/>
      <c r="E387" s="48"/>
      <c r="F387" s="48"/>
      <c r="G387" s="48"/>
      <c r="H387" s="48"/>
      <c r="I387" s="48"/>
      <c r="J387" s="48"/>
      <c r="K387" s="48"/>
      <c r="L387" s="48"/>
      <c r="M387" s="48"/>
      <c r="N387" s="48"/>
      <c r="O387" s="48"/>
    </row>
    <row r="388" spans="2:15" s="46" customFormat="1" ht="15" customHeight="1">
      <c r="B388" s="47"/>
      <c r="C388" s="48"/>
      <c r="D388" s="48"/>
      <c r="E388" s="48"/>
      <c r="F388" s="48"/>
      <c r="G388" s="48"/>
      <c r="H388" s="48"/>
      <c r="I388" s="48"/>
      <c r="J388" s="48"/>
      <c r="K388" s="48"/>
      <c r="L388" s="48"/>
      <c r="M388" s="48"/>
      <c r="N388" s="48"/>
      <c r="O388" s="48"/>
    </row>
    <row r="389" spans="2:15" s="46" customFormat="1" ht="15" customHeight="1">
      <c r="B389" s="47"/>
      <c r="C389" s="48"/>
      <c r="D389" s="48"/>
      <c r="E389" s="48"/>
      <c r="F389" s="48"/>
      <c r="G389" s="48"/>
      <c r="H389" s="48"/>
      <c r="I389" s="48"/>
      <c r="J389" s="48"/>
      <c r="K389" s="48"/>
      <c r="L389" s="48"/>
      <c r="M389" s="48"/>
      <c r="N389" s="48"/>
      <c r="O389" s="48"/>
    </row>
    <row r="390" spans="2:15" s="46" customFormat="1" ht="15" customHeight="1">
      <c r="B390" s="47"/>
      <c r="C390" s="48"/>
      <c r="D390" s="48"/>
      <c r="E390" s="48"/>
      <c r="F390" s="48"/>
      <c r="G390" s="48"/>
      <c r="H390" s="48"/>
      <c r="I390" s="48"/>
      <c r="J390" s="48"/>
      <c r="K390" s="48"/>
      <c r="L390" s="48"/>
      <c r="M390" s="48"/>
      <c r="N390" s="48"/>
      <c r="O390" s="48"/>
    </row>
    <row r="391" spans="2:15" s="46" customFormat="1" ht="15" customHeight="1">
      <c r="B391" s="47"/>
      <c r="C391" s="48"/>
      <c r="D391" s="48"/>
      <c r="E391" s="48"/>
      <c r="F391" s="48"/>
      <c r="G391" s="48"/>
      <c r="H391" s="48"/>
      <c r="I391" s="48"/>
      <c r="J391" s="48"/>
      <c r="K391" s="48"/>
      <c r="L391" s="48"/>
      <c r="M391" s="48"/>
      <c r="N391" s="48"/>
      <c r="O391" s="48"/>
    </row>
    <row r="392" spans="2:15" s="46" customFormat="1" ht="15" customHeight="1">
      <c r="B392" s="47"/>
      <c r="C392" s="48"/>
      <c r="D392" s="48"/>
      <c r="E392" s="48"/>
      <c r="F392" s="48"/>
      <c r="G392" s="48"/>
      <c r="H392" s="48"/>
      <c r="I392" s="48"/>
      <c r="J392" s="48"/>
      <c r="K392" s="48"/>
      <c r="L392" s="48"/>
      <c r="M392" s="48"/>
      <c r="N392" s="48"/>
      <c r="O392" s="48"/>
    </row>
    <row r="393" spans="2:15" s="46" customFormat="1" ht="15" customHeight="1">
      <c r="B393" s="47"/>
      <c r="C393" s="48"/>
      <c r="D393" s="48"/>
      <c r="E393" s="48"/>
      <c r="F393" s="48"/>
      <c r="G393" s="48"/>
      <c r="H393" s="48"/>
      <c r="I393" s="48"/>
      <c r="J393" s="48"/>
      <c r="K393" s="48"/>
      <c r="L393" s="48"/>
      <c r="M393" s="48"/>
      <c r="N393" s="48"/>
      <c r="O393" s="48"/>
    </row>
    <row r="394" spans="2:15" s="46" customFormat="1" ht="15" customHeight="1">
      <c r="B394" s="47"/>
      <c r="C394" s="48"/>
      <c r="D394" s="48"/>
      <c r="E394" s="48"/>
      <c r="F394" s="48"/>
      <c r="G394" s="48"/>
      <c r="H394" s="48"/>
      <c r="I394" s="48"/>
      <c r="J394" s="48"/>
      <c r="K394" s="48"/>
      <c r="L394" s="48"/>
      <c r="M394" s="48"/>
      <c r="N394" s="48"/>
      <c r="O394" s="48"/>
    </row>
    <row r="395" spans="2:15" s="46" customFormat="1" ht="15" customHeight="1">
      <c r="B395" s="47"/>
      <c r="C395" s="48"/>
      <c r="D395" s="48"/>
      <c r="E395" s="48"/>
      <c r="F395" s="48"/>
      <c r="G395" s="48"/>
      <c r="H395" s="48"/>
      <c r="I395" s="48"/>
      <c r="J395" s="48"/>
      <c r="K395" s="48"/>
      <c r="L395" s="48"/>
      <c r="M395" s="48"/>
      <c r="N395" s="48"/>
      <c r="O395" s="48"/>
    </row>
    <row r="396" spans="2:15" s="46" customFormat="1" ht="15" customHeight="1">
      <c r="B396" s="47"/>
      <c r="C396" s="48"/>
      <c r="D396" s="48"/>
      <c r="E396" s="48"/>
      <c r="F396" s="48"/>
      <c r="G396" s="48"/>
      <c r="H396" s="48"/>
      <c r="I396" s="48"/>
      <c r="J396" s="48"/>
      <c r="K396" s="48"/>
      <c r="L396" s="48"/>
      <c r="M396" s="48"/>
      <c r="N396" s="48"/>
      <c r="O396" s="48"/>
    </row>
    <row r="397" spans="2:15" s="46" customFormat="1" ht="15" customHeight="1">
      <c r="B397" s="47"/>
      <c r="C397" s="48"/>
      <c r="D397" s="48"/>
      <c r="E397" s="48"/>
      <c r="F397" s="48"/>
      <c r="G397" s="48"/>
      <c r="H397" s="48"/>
      <c r="I397" s="48"/>
      <c r="J397" s="48"/>
      <c r="K397" s="48"/>
      <c r="L397" s="48"/>
      <c r="M397" s="48"/>
      <c r="N397" s="48"/>
      <c r="O397" s="48"/>
    </row>
    <row r="398" spans="2:15" s="46" customFormat="1" ht="15" customHeight="1">
      <c r="B398" s="47"/>
      <c r="C398" s="48"/>
      <c r="D398" s="48"/>
      <c r="E398" s="48"/>
      <c r="F398" s="48"/>
      <c r="G398" s="48"/>
      <c r="H398" s="48"/>
      <c r="I398" s="48"/>
      <c r="J398" s="48"/>
      <c r="K398" s="48"/>
      <c r="L398" s="48"/>
      <c r="M398" s="48"/>
      <c r="N398" s="48"/>
      <c r="O398" s="48"/>
    </row>
    <row r="399" spans="2:15" s="46" customFormat="1" ht="15" customHeight="1">
      <c r="B399" s="47"/>
      <c r="C399" s="48"/>
      <c r="D399" s="48"/>
      <c r="E399" s="48"/>
      <c r="F399" s="48"/>
      <c r="G399" s="48"/>
      <c r="H399" s="48"/>
      <c r="I399" s="48"/>
      <c r="J399" s="48"/>
      <c r="K399" s="48"/>
      <c r="L399" s="48"/>
      <c r="M399" s="48"/>
      <c r="N399" s="48"/>
      <c r="O399" s="48"/>
    </row>
    <row r="400" spans="2:15" s="46" customFormat="1" ht="15" customHeight="1">
      <c r="B400" s="47"/>
      <c r="C400" s="48"/>
      <c r="D400" s="48"/>
      <c r="E400" s="48"/>
      <c r="F400" s="48"/>
      <c r="G400" s="48"/>
      <c r="H400" s="48"/>
      <c r="I400" s="48"/>
      <c r="J400" s="48"/>
      <c r="K400" s="48"/>
      <c r="L400" s="48"/>
      <c r="M400" s="48"/>
      <c r="N400" s="48"/>
      <c r="O400" s="48"/>
    </row>
    <row r="401" spans="2:15" s="46" customFormat="1" ht="15" customHeight="1">
      <c r="B401" s="47"/>
      <c r="C401" s="48"/>
      <c r="D401" s="48"/>
      <c r="E401" s="48"/>
      <c r="F401" s="48"/>
      <c r="G401" s="48"/>
      <c r="H401" s="48"/>
      <c r="I401" s="48"/>
      <c r="J401" s="48"/>
      <c r="K401" s="48"/>
      <c r="L401" s="48"/>
      <c r="M401" s="48"/>
      <c r="N401" s="48"/>
      <c r="O401" s="48"/>
    </row>
    <row r="402" spans="2:15" s="46" customFormat="1" ht="15" customHeight="1">
      <c r="B402" s="47"/>
      <c r="C402" s="48"/>
      <c r="D402" s="48"/>
      <c r="E402" s="48"/>
      <c r="F402" s="48"/>
      <c r="G402" s="48"/>
      <c r="H402" s="48"/>
      <c r="I402" s="48"/>
      <c r="J402" s="48"/>
      <c r="K402" s="48"/>
      <c r="L402" s="48"/>
      <c r="M402" s="48"/>
      <c r="N402" s="48"/>
      <c r="O402" s="48"/>
    </row>
    <row r="403" spans="2:15" s="46" customFormat="1" ht="15" customHeight="1">
      <c r="B403" s="47"/>
      <c r="C403" s="48"/>
      <c r="D403" s="48"/>
      <c r="E403" s="48"/>
      <c r="F403" s="48"/>
      <c r="G403" s="48"/>
      <c r="H403" s="48"/>
      <c r="I403" s="48"/>
      <c r="J403" s="48"/>
      <c r="K403" s="48"/>
      <c r="L403" s="48"/>
      <c r="M403" s="48"/>
      <c r="N403" s="48"/>
      <c r="O403" s="48"/>
    </row>
    <row r="404" spans="2:15" s="46" customFormat="1" ht="15" customHeight="1">
      <c r="B404" s="47"/>
      <c r="C404" s="48"/>
      <c r="D404" s="48"/>
      <c r="E404" s="48"/>
      <c r="F404" s="48"/>
      <c r="G404" s="48"/>
      <c r="H404" s="48"/>
      <c r="I404" s="48"/>
      <c r="J404" s="48"/>
      <c r="K404" s="48"/>
      <c r="L404" s="48"/>
      <c r="M404" s="48"/>
      <c r="N404" s="48"/>
      <c r="O404" s="48"/>
    </row>
    <row r="405" spans="2:15" s="46" customFormat="1" ht="15" customHeight="1">
      <c r="B405" s="47"/>
      <c r="C405" s="48"/>
      <c r="D405" s="48"/>
      <c r="E405" s="48"/>
      <c r="F405" s="48"/>
      <c r="G405" s="48"/>
      <c r="H405" s="48"/>
      <c r="I405" s="48"/>
      <c r="J405" s="48"/>
      <c r="K405" s="48"/>
      <c r="L405" s="48"/>
      <c r="M405" s="48"/>
      <c r="N405" s="48"/>
      <c r="O405" s="48"/>
    </row>
    <row r="406" spans="2:15" s="46" customFormat="1" ht="15" customHeight="1">
      <c r="B406" s="47"/>
      <c r="C406" s="48"/>
      <c r="D406" s="48"/>
      <c r="E406" s="48"/>
      <c r="F406" s="48"/>
      <c r="G406" s="48"/>
      <c r="H406" s="48"/>
      <c r="I406" s="48"/>
      <c r="J406" s="48"/>
      <c r="K406" s="48"/>
      <c r="L406" s="48"/>
      <c r="M406" s="48"/>
      <c r="N406" s="48"/>
      <c r="O406" s="48"/>
    </row>
    <row r="407" spans="2:15" s="46" customFormat="1" ht="15" customHeight="1">
      <c r="B407" s="47"/>
      <c r="C407" s="48"/>
      <c r="D407" s="48"/>
      <c r="E407" s="48"/>
      <c r="F407" s="48"/>
      <c r="G407" s="48"/>
      <c r="H407" s="48"/>
      <c r="I407" s="48"/>
      <c r="J407" s="48"/>
      <c r="K407" s="48"/>
      <c r="L407" s="48"/>
      <c r="M407" s="48"/>
      <c r="N407" s="48"/>
      <c r="O407" s="48"/>
    </row>
    <row r="408" spans="2:15" s="46" customFormat="1" ht="15" customHeight="1">
      <c r="B408" s="47"/>
      <c r="C408" s="48"/>
      <c r="D408" s="48"/>
      <c r="E408" s="48"/>
      <c r="F408" s="48"/>
      <c r="G408" s="48"/>
      <c r="H408" s="48"/>
      <c r="I408" s="48"/>
      <c r="J408" s="48"/>
      <c r="K408" s="48"/>
      <c r="L408" s="48"/>
      <c r="M408" s="48"/>
      <c r="N408" s="48"/>
      <c r="O408" s="48"/>
    </row>
    <row r="409" spans="2:15" s="46" customFormat="1" ht="15" customHeight="1">
      <c r="B409" s="47"/>
      <c r="C409" s="48"/>
      <c r="D409" s="48"/>
      <c r="E409" s="48"/>
      <c r="F409" s="48"/>
      <c r="G409" s="48"/>
      <c r="H409" s="48"/>
      <c r="I409" s="48"/>
      <c r="J409" s="48"/>
      <c r="K409" s="48"/>
      <c r="L409" s="48"/>
      <c r="M409" s="48"/>
      <c r="N409" s="48"/>
      <c r="O409" s="48"/>
    </row>
    <row r="410" spans="2:15" s="46" customFormat="1" ht="15" customHeight="1">
      <c r="B410" s="47"/>
      <c r="C410" s="48"/>
      <c r="D410" s="48"/>
      <c r="E410" s="48"/>
      <c r="F410" s="48"/>
      <c r="G410" s="48"/>
      <c r="H410" s="48"/>
      <c r="I410" s="48"/>
      <c r="J410" s="48"/>
      <c r="K410" s="48"/>
      <c r="L410" s="48"/>
      <c r="M410" s="48"/>
      <c r="N410" s="48"/>
      <c r="O410" s="48"/>
    </row>
    <row r="411" spans="2:15" s="46" customFormat="1" ht="15" customHeight="1">
      <c r="B411" s="47"/>
      <c r="C411" s="48"/>
      <c r="D411" s="48"/>
      <c r="E411" s="48"/>
      <c r="F411" s="48"/>
      <c r="G411" s="48"/>
      <c r="H411" s="48"/>
      <c r="I411" s="48"/>
      <c r="J411" s="48"/>
      <c r="K411" s="48"/>
      <c r="L411" s="48"/>
      <c r="M411" s="48"/>
      <c r="N411" s="48"/>
      <c r="O411" s="48"/>
    </row>
    <row r="412" spans="2:15" s="46" customFormat="1" ht="15" customHeight="1">
      <c r="B412" s="47"/>
      <c r="C412" s="48"/>
      <c r="D412" s="48"/>
      <c r="E412" s="48"/>
      <c r="F412" s="48"/>
      <c r="G412" s="48"/>
      <c r="H412" s="48"/>
      <c r="I412" s="48"/>
      <c r="J412" s="48"/>
      <c r="K412" s="48"/>
      <c r="L412" s="48"/>
      <c r="M412" s="48"/>
      <c r="N412" s="48"/>
      <c r="O412" s="48"/>
    </row>
    <row r="413" spans="2:15" s="46" customFormat="1" ht="15" customHeight="1">
      <c r="B413" s="47"/>
      <c r="C413" s="48"/>
      <c r="D413" s="48"/>
      <c r="E413" s="48"/>
      <c r="F413" s="48"/>
      <c r="G413" s="48"/>
      <c r="H413" s="48"/>
      <c r="I413" s="48"/>
      <c r="J413" s="48"/>
      <c r="K413" s="48"/>
      <c r="L413" s="48"/>
      <c r="M413" s="48"/>
      <c r="N413" s="48"/>
      <c r="O413" s="48"/>
    </row>
    <row r="414" spans="2:15" s="46" customFormat="1" ht="15" customHeight="1">
      <c r="B414" s="47"/>
      <c r="C414" s="48"/>
      <c r="D414" s="48"/>
      <c r="E414" s="48"/>
      <c r="F414" s="48"/>
      <c r="G414" s="48"/>
      <c r="H414" s="48"/>
      <c r="I414" s="48"/>
      <c r="J414" s="48"/>
      <c r="K414" s="48"/>
      <c r="L414" s="48"/>
      <c r="M414" s="48"/>
      <c r="N414" s="48"/>
      <c r="O414" s="48"/>
    </row>
    <row r="415" spans="2:15" s="46" customFormat="1" ht="15" customHeight="1">
      <c r="B415" s="47"/>
      <c r="C415" s="48"/>
      <c r="D415" s="48"/>
      <c r="E415" s="48"/>
      <c r="F415" s="48"/>
      <c r="G415" s="48"/>
      <c r="H415" s="48"/>
      <c r="I415" s="48"/>
      <c r="J415" s="48"/>
      <c r="K415" s="48"/>
      <c r="L415" s="48"/>
      <c r="M415" s="48"/>
      <c r="N415" s="48"/>
      <c r="O415" s="48"/>
    </row>
    <row r="416" spans="2:15" s="46" customFormat="1" ht="15" customHeight="1">
      <c r="B416" s="47"/>
      <c r="C416" s="48"/>
      <c r="D416" s="48"/>
      <c r="E416" s="48"/>
      <c r="F416" s="48"/>
      <c r="G416" s="48"/>
      <c r="H416" s="48"/>
      <c r="I416" s="48"/>
      <c r="J416" s="48"/>
      <c r="K416" s="48"/>
      <c r="L416" s="48"/>
      <c r="M416" s="48"/>
      <c r="N416" s="48"/>
      <c r="O416" s="48"/>
    </row>
    <row r="417" spans="2:15" s="46" customFormat="1" ht="15" customHeight="1">
      <c r="B417" s="47"/>
      <c r="C417" s="48"/>
      <c r="D417" s="48"/>
      <c r="E417" s="48"/>
      <c r="F417" s="48"/>
      <c r="G417" s="48"/>
      <c r="H417" s="48"/>
      <c r="I417" s="48"/>
      <c r="J417" s="48"/>
      <c r="K417" s="48"/>
      <c r="L417" s="48"/>
      <c r="M417" s="48"/>
      <c r="N417" s="48"/>
      <c r="O417" s="48"/>
    </row>
    <row r="418" spans="2:15" s="46" customFormat="1" ht="15" customHeight="1">
      <c r="B418" s="47"/>
      <c r="C418" s="48"/>
      <c r="D418" s="48"/>
      <c r="E418" s="48"/>
      <c r="F418" s="48"/>
      <c r="G418" s="48"/>
      <c r="H418" s="48"/>
      <c r="I418" s="48"/>
      <c r="J418" s="48"/>
      <c r="K418" s="48"/>
      <c r="L418" s="48"/>
      <c r="M418" s="48"/>
      <c r="N418" s="48"/>
      <c r="O418" s="48"/>
    </row>
    <row r="419" spans="2:15" s="46" customFormat="1" ht="15" customHeight="1">
      <c r="B419" s="47"/>
      <c r="C419" s="48"/>
      <c r="D419" s="48"/>
      <c r="E419" s="48"/>
      <c r="F419" s="48"/>
      <c r="G419" s="48"/>
      <c r="H419" s="48"/>
      <c r="I419" s="48"/>
      <c r="J419" s="48"/>
      <c r="K419" s="48"/>
      <c r="L419" s="48"/>
      <c r="M419" s="48"/>
      <c r="N419" s="48"/>
      <c r="O419" s="48"/>
    </row>
    <row r="420" spans="2:15" s="46" customFormat="1" ht="15" customHeight="1">
      <c r="B420" s="47"/>
      <c r="C420" s="48"/>
      <c r="D420" s="48"/>
      <c r="E420" s="48"/>
      <c r="F420" s="48"/>
      <c r="G420" s="48"/>
      <c r="H420" s="48"/>
      <c r="I420" s="48"/>
      <c r="J420" s="48"/>
      <c r="K420" s="48"/>
      <c r="L420" s="48"/>
      <c r="M420" s="48"/>
      <c r="N420" s="48"/>
      <c r="O420" s="48"/>
    </row>
    <row r="421" spans="2:15" s="46" customFormat="1" ht="15" customHeight="1">
      <c r="B421" s="47"/>
      <c r="C421" s="48"/>
      <c r="D421" s="48"/>
      <c r="E421" s="48"/>
      <c r="F421" s="48"/>
      <c r="G421" s="48"/>
      <c r="H421" s="48"/>
      <c r="I421" s="48"/>
      <c r="J421" s="48"/>
      <c r="K421" s="48"/>
      <c r="L421" s="48"/>
      <c r="M421" s="48"/>
      <c r="N421" s="48"/>
      <c r="O421" s="48"/>
    </row>
    <row r="422" spans="2:15" s="46" customFormat="1" ht="15" customHeight="1">
      <c r="B422" s="47"/>
      <c r="C422" s="48"/>
      <c r="D422" s="48"/>
      <c r="E422" s="48"/>
      <c r="F422" s="48"/>
      <c r="G422" s="48"/>
      <c r="H422" s="48"/>
      <c r="I422" s="48"/>
      <c r="J422" s="48"/>
      <c r="K422" s="48"/>
      <c r="L422" s="48"/>
      <c r="M422" s="48"/>
      <c r="N422" s="48"/>
      <c r="O422" s="48"/>
    </row>
    <row r="423" spans="2:15" s="46" customFormat="1" ht="15" customHeight="1">
      <c r="B423" s="47"/>
      <c r="C423" s="48"/>
      <c r="D423" s="48"/>
      <c r="E423" s="48"/>
      <c r="F423" s="48"/>
      <c r="G423" s="48"/>
      <c r="H423" s="48"/>
      <c r="I423" s="48"/>
      <c r="J423" s="48"/>
      <c r="K423" s="48"/>
      <c r="L423" s="48"/>
      <c r="M423" s="48"/>
      <c r="N423" s="48"/>
      <c r="O423" s="48"/>
    </row>
    <row r="424" spans="2:15" s="46" customFormat="1" ht="15" customHeight="1">
      <c r="B424" s="47"/>
      <c r="C424" s="48"/>
      <c r="D424" s="48"/>
      <c r="E424" s="48"/>
      <c r="F424" s="48"/>
      <c r="G424" s="48"/>
      <c r="H424" s="48"/>
      <c r="I424" s="48"/>
      <c r="J424" s="48"/>
      <c r="K424" s="48"/>
      <c r="L424" s="48"/>
      <c r="M424" s="48"/>
      <c r="N424" s="48"/>
      <c r="O424" s="48"/>
    </row>
    <row r="425" spans="2:15" s="46" customFormat="1" ht="15" customHeight="1">
      <c r="B425" s="47"/>
      <c r="C425" s="48"/>
      <c r="D425" s="48"/>
      <c r="E425" s="48"/>
      <c r="F425" s="48"/>
      <c r="G425" s="48"/>
      <c r="H425" s="48"/>
      <c r="I425" s="48"/>
      <c r="J425" s="48"/>
      <c r="K425" s="48"/>
      <c r="L425" s="48"/>
      <c r="M425" s="48"/>
      <c r="N425" s="48"/>
      <c r="O425" s="48"/>
    </row>
    <row r="426" spans="2:15" s="46" customFormat="1" ht="15" customHeight="1">
      <c r="B426" s="47"/>
      <c r="C426" s="48"/>
      <c r="D426" s="48"/>
      <c r="E426" s="48"/>
      <c r="F426" s="48"/>
      <c r="G426" s="48"/>
      <c r="H426" s="48"/>
      <c r="I426" s="48"/>
      <c r="J426" s="48"/>
      <c r="K426" s="48"/>
      <c r="L426" s="48"/>
      <c r="M426" s="48"/>
      <c r="N426" s="48"/>
      <c r="O426" s="48"/>
    </row>
    <row r="427" spans="2:15" s="46" customFormat="1" ht="15" customHeight="1">
      <c r="B427" s="47"/>
      <c r="C427" s="48"/>
      <c r="D427" s="48"/>
      <c r="E427" s="48"/>
      <c r="F427" s="48"/>
      <c r="G427" s="48"/>
      <c r="H427" s="48"/>
      <c r="I427" s="48"/>
      <c r="J427" s="48"/>
      <c r="K427" s="48"/>
      <c r="L427" s="48"/>
      <c r="M427" s="48"/>
      <c r="N427" s="48"/>
      <c r="O427" s="48"/>
    </row>
    <row r="428" spans="2:15" s="46" customFormat="1" ht="15" customHeight="1">
      <c r="B428" s="47"/>
      <c r="C428" s="48"/>
      <c r="D428" s="48"/>
      <c r="E428" s="48"/>
      <c r="F428" s="48"/>
      <c r="G428" s="48"/>
      <c r="H428" s="48"/>
      <c r="I428" s="48"/>
      <c r="J428" s="48"/>
      <c r="K428" s="48"/>
      <c r="L428" s="48"/>
      <c r="M428" s="48"/>
      <c r="N428" s="48"/>
      <c r="O428" s="48"/>
    </row>
    <row r="429" spans="2:15" s="46" customFormat="1" ht="15" customHeight="1">
      <c r="B429" s="47"/>
      <c r="C429" s="48"/>
      <c r="D429" s="48"/>
      <c r="E429" s="48"/>
      <c r="F429" s="48"/>
      <c r="G429" s="48"/>
      <c r="H429" s="48"/>
      <c r="I429" s="48"/>
      <c r="J429" s="48"/>
      <c r="K429" s="48"/>
      <c r="L429" s="48"/>
      <c r="M429" s="48"/>
      <c r="N429" s="48"/>
      <c r="O429" s="48"/>
    </row>
    <row r="430" spans="2:15" s="46" customFormat="1" ht="15" customHeight="1">
      <c r="B430" s="47"/>
      <c r="C430" s="48"/>
      <c r="D430" s="48"/>
      <c r="E430" s="48"/>
      <c r="F430" s="48"/>
      <c r="G430" s="48"/>
      <c r="H430" s="48"/>
      <c r="I430" s="48"/>
      <c r="J430" s="48"/>
      <c r="K430" s="48"/>
      <c r="L430" s="48"/>
      <c r="M430" s="48"/>
      <c r="N430" s="48"/>
      <c r="O430" s="48"/>
    </row>
    <row r="431" spans="2:15" s="46" customFormat="1" ht="15" customHeight="1">
      <c r="B431" s="47"/>
      <c r="C431" s="48"/>
      <c r="D431" s="48"/>
      <c r="E431" s="48"/>
      <c r="F431" s="48"/>
      <c r="G431" s="48"/>
      <c r="H431" s="48"/>
      <c r="I431" s="48"/>
      <c r="J431" s="48"/>
      <c r="K431" s="48"/>
      <c r="L431" s="48"/>
      <c r="M431" s="48"/>
      <c r="N431" s="48"/>
      <c r="O431" s="48"/>
    </row>
    <row r="432" spans="2:15" s="46" customFormat="1" ht="15" customHeight="1">
      <c r="B432" s="47"/>
      <c r="C432" s="48"/>
      <c r="D432" s="48"/>
      <c r="E432" s="48"/>
      <c r="F432" s="48"/>
      <c r="G432" s="48"/>
      <c r="H432" s="48"/>
      <c r="I432" s="48"/>
      <c r="J432" s="48"/>
      <c r="K432" s="48"/>
      <c r="L432" s="48"/>
      <c r="M432" s="48"/>
      <c r="N432" s="48"/>
      <c r="O432" s="48"/>
    </row>
    <row r="433" spans="2:15" s="46" customFormat="1" ht="15" customHeight="1">
      <c r="B433" s="47"/>
      <c r="C433" s="48"/>
      <c r="D433" s="48"/>
      <c r="E433" s="48"/>
      <c r="F433" s="48"/>
      <c r="G433" s="48"/>
      <c r="H433" s="48"/>
      <c r="I433" s="48"/>
      <c r="J433" s="48"/>
      <c r="K433" s="48"/>
      <c r="L433" s="48"/>
      <c r="M433" s="48"/>
      <c r="N433" s="48"/>
      <c r="O433" s="48"/>
    </row>
    <row r="434" spans="2:15" s="46" customFormat="1" ht="15" customHeight="1">
      <c r="B434" s="47"/>
      <c r="C434" s="48"/>
      <c r="D434" s="48"/>
      <c r="E434" s="48"/>
      <c r="F434" s="48"/>
      <c r="G434" s="48"/>
      <c r="H434" s="48"/>
      <c r="I434" s="48"/>
      <c r="J434" s="48"/>
      <c r="K434" s="48"/>
      <c r="L434" s="48"/>
      <c r="M434" s="48"/>
      <c r="N434" s="48"/>
      <c r="O434" s="48"/>
    </row>
    <row r="435" spans="2:15" s="46" customFormat="1" ht="15" customHeight="1">
      <c r="B435" s="47"/>
      <c r="C435" s="48"/>
      <c r="D435" s="48"/>
      <c r="E435" s="48"/>
      <c r="F435" s="48"/>
      <c r="G435" s="48"/>
      <c r="H435" s="48"/>
      <c r="I435" s="48"/>
      <c r="J435" s="48"/>
      <c r="K435" s="48"/>
      <c r="L435" s="48"/>
      <c r="M435" s="48"/>
      <c r="N435" s="48"/>
      <c r="O435" s="48"/>
    </row>
    <row r="436" spans="2:15" s="46" customFormat="1" ht="15" customHeight="1">
      <c r="B436" s="47"/>
      <c r="C436" s="48"/>
      <c r="D436" s="48"/>
      <c r="E436" s="48"/>
      <c r="F436" s="48"/>
      <c r="G436" s="48"/>
      <c r="H436" s="48"/>
      <c r="I436" s="48"/>
      <c r="J436" s="48"/>
      <c r="K436" s="48"/>
      <c r="L436" s="48"/>
      <c r="M436" s="48"/>
      <c r="N436" s="48"/>
      <c r="O436" s="48"/>
    </row>
    <row r="437" spans="2:15" s="46" customFormat="1" ht="15" customHeight="1">
      <c r="B437" s="47"/>
      <c r="C437" s="48"/>
      <c r="D437" s="48"/>
      <c r="E437" s="48"/>
      <c r="F437" s="48"/>
      <c r="G437" s="48"/>
      <c r="H437" s="48"/>
      <c r="I437" s="48"/>
      <c r="J437" s="48"/>
      <c r="K437" s="48"/>
      <c r="L437" s="48"/>
      <c r="M437" s="48"/>
      <c r="N437" s="48"/>
      <c r="O437" s="48"/>
    </row>
    <row r="438" spans="2:15" s="46" customFormat="1" ht="15" customHeight="1">
      <c r="B438" s="47"/>
      <c r="C438" s="48"/>
      <c r="D438" s="48"/>
      <c r="E438" s="48"/>
      <c r="F438" s="48"/>
      <c r="G438" s="48"/>
      <c r="H438" s="48"/>
      <c r="I438" s="48"/>
      <c r="J438" s="48"/>
      <c r="K438" s="48"/>
      <c r="L438" s="48"/>
      <c r="M438" s="48"/>
      <c r="N438" s="48"/>
      <c r="O438" s="48"/>
    </row>
    <row r="439" spans="2:15" s="46" customFormat="1" ht="15" customHeight="1">
      <c r="B439" s="47"/>
      <c r="C439" s="48"/>
      <c r="D439" s="48"/>
      <c r="E439" s="48"/>
      <c r="F439" s="48"/>
      <c r="G439" s="48"/>
      <c r="H439" s="48"/>
      <c r="I439" s="48"/>
      <c r="J439" s="48"/>
      <c r="K439" s="48"/>
      <c r="L439" s="48"/>
      <c r="M439" s="48"/>
      <c r="N439" s="48"/>
      <c r="O439" s="48"/>
    </row>
    <row r="440" spans="2:15" s="46" customFormat="1" ht="15" customHeight="1">
      <c r="B440" s="47"/>
      <c r="C440" s="48"/>
      <c r="D440" s="48"/>
      <c r="E440" s="48"/>
      <c r="F440" s="48"/>
      <c r="G440" s="48"/>
      <c r="H440" s="48"/>
      <c r="I440" s="48"/>
      <c r="J440" s="48"/>
      <c r="K440" s="48"/>
      <c r="L440" s="48"/>
      <c r="M440" s="48"/>
      <c r="N440" s="48"/>
      <c r="O440" s="48"/>
    </row>
    <row r="441" spans="2:15" s="46" customFormat="1" ht="15" customHeight="1">
      <c r="B441" s="47"/>
      <c r="C441" s="48"/>
      <c r="D441" s="48"/>
      <c r="E441" s="48"/>
      <c r="F441" s="48"/>
      <c r="G441" s="48"/>
      <c r="H441" s="48"/>
      <c r="I441" s="48"/>
      <c r="J441" s="48"/>
      <c r="K441" s="48"/>
      <c r="L441" s="48"/>
      <c r="M441" s="48"/>
      <c r="N441" s="48"/>
      <c r="O441" s="48"/>
    </row>
    <row r="442" spans="2:15" s="46" customFormat="1" ht="15" customHeight="1">
      <c r="B442" s="47"/>
      <c r="C442" s="48"/>
      <c r="D442" s="48"/>
      <c r="E442" s="48"/>
      <c r="F442" s="48"/>
      <c r="G442" s="48"/>
      <c r="H442" s="48"/>
      <c r="I442" s="48"/>
      <c r="J442" s="48"/>
      <c r="K442" s="48"/>
      <c r="L442" s="48"/>
      <c r="M442" s="48"/>
      <c r="N442" s="48"/>
      <c r="O442" s="48"/>
    </row>
    <row r="443" spans="2:15" s="46" customFormat="1" ht="15" customHeight="1">
      <c r="B443" s="47"/>
      <c r="C443" s="48"/>
      <c r="D443" s="48"/>
      <c r="E443" s="48"/>
      <c r="F443" s="48"/>
      <c r="G443" s="48"/>
      <c r="H443" s="48"/>
      <c r="I443" s="48"/>
      <c r="J443" s="48"/>
      <c r="K443" s="48"/>
      <c r="L443" s="48"/>
      <c r="M443" s="48"/>
      <c r="N443" s="48"/>
      <c r="O443" s="48"/>
    </row>
    <row r="444" spans="2:15" s="46" customFormat="1" ht="15" customHeight="1">
      <c r="B444" s="47"/>
      <c r="C444" s="48"/>
      <c r="D444" s="48"/>
      <c r="E444" s="48"/>
      <c r="F444" s="48"/>
      <c r="G444" s="48"/>
      <c r="H444" s="48"/>
      <c r="I444" s="48"/>
      <c r="J444" s="48"/>
      <c r="K444" s="48"/>
      <c r="L444" s="48"/>
      <c r="M444" s="48"/>
      <c r="N444" s="48"/>
      <c r="O444" s="48"/>
    </row>
    <row r="445" spans="2:15" s="46" customFormat="1" ht="15" customHeight="1">
      <c r="B445" s="47"/>
      <c r="C445" s="48"/>
      <c r="D445" s="48"/>
      <c r="E445" s="48"/>
      <c r="F445" s="48"/>
      <c r="G445" s="48"/>
      <c r="H445" s="48"/>
      <c r="I445" s="48"/>
      <c r="J445" s="48"/>
      <c r="K445" s="48"/>
      <c r="L445" s="48"/>
      <c r="M445" s="48"/>
      <c r="N445" s="48"/>
      <c r="O445" s="48"/>
    </row>
    <row r="446" spans="2:15" s="46" customFormat="1" ht="15" customHeight="1">
      <c r="B446" s="47"/>
      <c r="C446" s="48"/>
      <c r="D446" s="48"/>
      <c r="E446" s="48"/>
      <c r="F446" s="48"/>
      <c r="G446" s="48"/>
      <c r="H446" s="48"/>
      <c r="I446" s="48"/>
      <c r="J446" s="48"/>
      <c r="K446" s="48"/>
      <c r="L446" s="48"/>
      <c r="M446" s="48"/>
      <c r="N446" s="48"/>
      <c r="O446" s="48"/>
    </row>
    <row r="447" spans="2:15" s="46" customFormat="1" ht="15" customHeight="1">
      <c r="B447" s="47"/>
      <c r="C447" s="48"/>
      <c r="D447" s="48"/>
      <c r="E447" s="48"/>
      <c r="F447" s="48"/>
      <c r="G447" s="48"/>
      <c r="H447" s="48"/>
      <c r="I447" s="48"/>
      <c r="J447" s="48"/>
      <c r="K447" s="48"/>
      <c r="L447" s="48"/>
      <c r="M447" s="48"/>
      <c r="N447" s="48"/>
      <c r="O447" s="48"/>
    </row>
    <row r="448" spans="2:15" s="46" customFormat="1" ht="15" customHeight="1">
      <c r="B448" s="47"/>
      <c r="C448" s="48"/>
      <c r="D448" s="48"/>
      <c r="E448" s="48"/>
      <c r="F448" s="48"/>
      <c r="G448" s="48"/>
      <c r="H448" s="48"/>
      <c r="I448" s="48"/>
      <c r="J448" s="48"/>
      <c r="K448" s="48"/>
      <c r="L448" s="48"/>
      <c r="M448" s="48"/>
      <c r="N448" s="48"/>
      <c r="O448" s="48"/>
    </row>
    <row r="449" spans="2:15" s="46" customFormat="1" ht="15" customHeight="1">
      <c r="B449" s="47"/>
      <c r="C449" s="48"/>
      <c r="D449" s="48"/>
      <c r="E449" s="48"/>
      <c r="F449" s="48"/>
      <c r="G449" s="48"/>
      <c r="H449" s="48"/>
      <c r="I449" s="48"/>
      <c r="J449" s="48"/>
      <c r="K449" s="48"/>
      <c r="L449" s="48"/>
      <c r="M449" s="48"/>
      <c r="N449" s="48"/>
      <c r="O449" s="48"/>
    </row>
    <row r="450" spans="2:15" s="46" customFormat="1" ht="15" customHeight="1">
      <c r="B450" s="47"/>
      <c r="C450" s="48"/>
      <c r="D450" s="48"/>
      <c r="E450" s="48"/>
      <c r="F450" s="48"/>
      <c r="G450" s="48"/>
      <c r="H450" s="48"/>
      <c r="I450" s="48"/>
      <c r="J450" s="48"/>
      <c r="K450" s="48"/>
      <c r="L450" s="48"/>
      <c r="M450" s="48"/>
      <c r="N450" s="48"/>
      <c r="O450" s="48"/>
    </row>
    <row r="451" spans="2:15" s="46" customFormat="1" ht="15" customHeight="1">
      <c r="B451" s="47"/>
      <c r="C451" s="48"/>
      <c r="D451" s="48"/>
      <c r="E451" s="48"/>
      <c r="F451" s="48"/>
      <c r="G451" s="48"/>
      <c r="H451" s="48"/>
      <c r="I451" s="48"/>
      <c r="J451" s="48"/>
      <c r="K451" s="48"/>
      <c r="L451" s="48"/>
      <c r="M451" s="48"/>
      <c r="N451" s="48"/>
      <c r="O451" s="48"/>
    </row>
    <row r="452" spans="2:15" s="46" customFormat="1" ht="15" customHeight="1">
      <c r="B452" s="47"/>
      <c r="C452" s="48"/>
      <c r="D452" s="48"/>
      <c r="E452" s="48"/>
      <c r="F452" s="48"/>
      <c r="G452" s="48"/>
      <c r="H452" s="48"/>
      <c r="I452" s="48"/>
      <c r="J452" s="48"/>
      <c r="K452" s="48"/>
      <c r="L452" s="48"/>
      <c r="M452" s="48"/>
      <c r="N452" s="48"/>
      <c r="O452" s="48"/>
    </row>
    <row r="453" spans="2:15" s="46" customFormat="1" ht="15" customHeight="1">
      <c r="B453" s="47"/>
      <c r="C453" s="48"/>
      <c r="D453" s="48"/>
      <c r="E453" s="48"/>
      <c r="F453" s="48"/>
      <c r="G453" s="48"/>
      <c r="H453" s="48"/>
      <c r="I453" s="48"/>
      <c r="J453" s="48"/>
      <c r="K453" s="48"/>
      <c r="L453" s="48"/>
      <c r="M453" s="48"/>
      <c r="N453" s="48"/>
      <c r="O453" s="48"/>
    </row>
    <row r="454" spans="2:15" s="46" customFormat="1" ht="15" customHeight="1">
      <c r="B454" s="47"/>
      <c r="C454" s="48"/>
      <c r="D454" s="48"/>
      <c r="E454" s="48"/>
      <c r="F454" s="48"/>
      <c r="G454" s="48"/>
      <c r="H454" s="48"/>
      <c r="I454" s="48"/>
      <c r="J454" s="48"/>
      <c r="K454" s="48"/>
      <c r="L454" s="48"/>
      <c r="M454" s="48"/>
      <c r="N454" s="48"/>
      <c r="O454" s="48"/>
    </row>
    <row r="455" spans="2:15" s="46" customFormat="1" ht="15" customHeight="1">
      <c r="B455" s="47"/>
      <c r="C455" s="48"/>
      <c r="D455" s="48"/>
      <c r="E455" s="48"/>
      <c r="F455" s="48"/>
      <c r="G455" s="48"/>
      <c r="H455" s="48"/>
      <c r="I455" s="48"/>
      <c r="J455" s="48"/>
      <c r="K455" s="48"/>
      <c r="L455" s="48"/>
      <c r="M455" s="48"/>
      <c r="N455" s="48"/>
      <c r="O455" s="48"/>
    </row>
    <row r="456" spans="2:15" s="46" customFormat="1" ht="15" customHeight="1">
      <c r="B456" s="47"/>
      <c r="C456" s="48"/>
      <c r="D456" s="48"/>
      <c r="E456" s="48"/>
      <c r="F456" s="48"/>
      <c r="G456" s="48"/>
      <c r="H456" s="48"/>
      <c r="I456" s="48"/>
      <c r="J456" s="48"/>
      <c r="K456" s="48"/>
      <c r="L456" s="48"/>
      <c r="M456" s="48"/>
      <c r="N456" s="48"/>
      <c r="O456" s="48"/>
    </row>
    <row r="457" spans="2:15" s="46" customFormat="1" ht="15" customHeight="1">
      <c r="B457" s="47"/>
      <c r="C457" s="48"/>
      <c r="D457" s="48"/>
      <c r="E457" s="48"/>
      <c r="F457" s="48"/>
      <c r="G457" s="48"/>
      <c r="H457" s="48"/>
      <c r="I457" s="48"/>
      <c r="J457" s="48"/>
      <c r="K457" s="48"/>
      <c r="L457" s="48"/>
      <c r="M457" s="48"/>
      <c r="N457" s="48"/>
      <c r="O457" s="48"/>
    </row>
    <row r="458" spans="2:15" s="46" customFormat="1" ht="15" customHeight="1">
      <c r="B458" s="47"/>
      <c r="C458" s="48"/>
      <c r="D458" s="48"/>
      <c r="E458" s="48"/>
      <c r="F458" s="48"/>
      <c r="G458" s="48"/>
      <c r="H458" s="48"/>
      <c r="I458" s="48"/>
      <c r="J458" s="48"/>
      <c r="K458" s="48"/>
      <c r="L458" s="48"/>
      <c r="M458" s="48"/>
      <c r="N458" s="48"/>
      <c r="O458" s="48"/>
    </row>
    <row r="459" spans="2:15" s="46" customFormat="1" ht="15" customHeight="1">
      <c r="B459" s="47"/>
      <c r="C459" s="48"/>
      <c r="D459" s="48"/>
      <c r="E459" s="48"/>
      <c r="F459" s="48"/>
      <c r="G459" s="48"/>
      <c r="H459" s="48"/>
      <c r="I459" s="48"/>
      <c r="J459" s="48"/>
      <c r="K459" s="48"/>
      <c r="L459" s="48"/>
      <c r="M459" s="48"/>
      <c r="N459" s="48"/>
      <c r="O459" s="48"/>
    </row>
    <row r="460" spans="2:15" s="46" customFormat="1" ht="15" customHeight="1">
      <c r="B460" s="47"/>
      <c r="C460" s="48"/>
      <c r="D460" s="48"/>
      <c r="E460" s="48"/>
      <c r="F460" s="48"/>
      <c r="G460" s="48"/>
      <c r="H460" s="48"/>
      <c r="I460" s="48"/>
      <c r="J460" s="48"/>
      <c r="K460" s="48"/>
      <c r="L460" s="48"/>
      <c r="M460" s="48"/>
      <c r="N460" s="48"/>
      <c r="O460" s="48"/>
    </row>
    <row r="461" spans="2:15" s="46" customFormat="1" ht="15" customHeight="1">
      <c r="B461" s="47"/>
      <c r="C461" s="48"/>
      <c r="D461" s="48"/>
      <c r="E461" s="48"/>
      <c r="F461" s="48"/>
      <c r="G461" s="48"/>
      <c r="H461" s="48"/>
      <c r="I461" s="48"/>
      <c r="J461" s="48"/>
      <c r="K461" s="48"/>
      <c r="L461" s="48"/>
      <c r="M461" s="48"/>
      <c r="N461" s="48"/>
      <c r="O461" s="48"/>
    </row>
    <row r="462" spans="2:15" s="46" customFormat="1" ht="15" customHeight="1">
      <c r="B462" s="47"/>
      <c r="C462" s="48"/>
      <c r="D462" s="48"/>
      <c r="E462" s="48"/>
      <c r="F462" s="48"/>
      <c r="G462" s="48"/>
      <c r="H462" s="48"/>
      <c r="I462" s="48"/>
      <c r="J462" s="48"/>
      <c r="K462" s="48"/>
      <c r="L462" s="48"/>
      <c r="M462" s="48"/>
      <c r="N462" s="48"/>
      <c r="O462" s="48"/>
    </row>
    <row r="463" spans="2:15" s="46" customFormat="1" ht="15" customHeight="1">
      <c r="B463" s="47"/>
      <c r="C463" s="48"/>
      <c r="D463" s="48"/>
      <c r="E463" s="48"/>
      <c r="F463" s="48"/>
      <c r="G463" s="48"/>
      <c r="H463" s="48"/>
      <c r="I463" s="48"/>
      <c r="J463" s="48"/>
      <c r="K463" s="48"/>
      <c r="L463" s="48"/>
      <c r="M463" s="48"/>
      <c r="N463" s="48"/>
      <c r="O463" s="48"/>
    </row>
    <row r="464" spans="2:15" s="46" customFormat="1" ht="15" customHeight="1">
      <c r="B464" s="47"/>
      <c r="C464" s="48"/>
      <c r="D464" s="48"/>
      <c r="E464" s="48"/>
      <c r="F464" s="48"/>
      <c r="G464" s="48"/>
      <c r="H464" s="48"/>
      <c r="I464" s="48"/>
      <c r="J464" s="48"/>
      <c r="K464" s="48"/>
      <c r="L464" s="48"/>
      <c r="M464" s="48"/>
      <c r="N464" s="48"/>
      <c r="O464" s="48"/>
    </row>
    <row r="465" spans="2:15" s="46" customFormat="1" ht="15" customHeight="1">
      <c r="B465" s="47"/>
      <c r="C465" s="48"/>
      <c r="D465" s="48"/>
      <c r="E465" s="48"/>
      <c r="F465" s="48"/>
      <c r="G465" s="48"/>
      <c r="H465" s="48"/>
      <c r="I465" s="48"/>
      <c r="J465" s="48"/>
      <c r="K465" s="48"/>
      <c r="L465" s="48"/>
      <c r="M465" s="48"/>
      <c r="N465" s="48"/>
      <c r="O465" s="48"/>
    </row>
    <row r="466" spans="2:15" s="46" customFormat="1" ht="15" customHeight="1">
      <c r="B466" s="47"/>
      <c r="C466" s="48"/>
      <c r="D466" s="48"/>
      <c r="E466" s="48"/>
      <c r="F466" s="48"/>
      <c r="G466" s="48"/>
      <c r="H466" s="48"/>
      <c r="I466" s="48"/>
      <c r="J466" s="48"/>
      <c r="K466" s="48"/>
      <c r="L466" s="48"/>
      <c r="M466" s="48"/>
      <c r="N466" s="48"/>
      <c r="O466" s="48"/>
    </row>
    <row r="467" spans="2:15" s="46" customFormat="1" ht="15" customHeight="1">
      <c r="B467" s="47"/>
      <c r="C467" s="48"/>
      <c r="D467" s="48"/>
      <c r="E467" s="48"/>
      <c r="F467" s="48"/>
      <c r="G467" s="48"/>
      <c r="H467" s="48"/>
      <c r="I467" s="48"/>
      <c r="J467" s="48"/>
      <c r="K467" s="48"/>
      <c r="L467" s="48"/>
      <c r="M467" s="48"/>
      <c r="N467" s="48"/>
      <c r="O467" s="48"/>
    </row>
    <row r="468" spans="2:15" s="46" customFormat="1" ht="15" customHeight="1">
      <c r="B468" s="47"/>
      <c r="C468" s="48"/>
      <c r="D468" s="48"/>
      <c r="E468" s="48"/>
      <c r="F468" s="48"/>
      <c r="G468" s="48"/>
      <c r="H468" s="48"/>
      <c r="I468" s="48"/>
      <c r="J468" s="48"/>
      <c r="K468" s="48"/>
      <c r="L468" s="48"/>
      <c r="M468" s="48"/>
      <c r="N468" s="48"/>
      <c r="O468" s="48"/>
    </row>
    <row r="469" spans="2:15" s="46" customFormat="1" ht="15" customHeight="1">
      <c r="B469" s="47"/>
      <c r="C469" s="48"/>
      <c r="D469" s="48"/>
      <c r="E469" s="48"/>
      <c r="F469" s="48"/>
      <c r="G469" s="48"/>
      <c r="H469" s="48"/>
      <c r="I469" s="48"/>
      <c r="J469" s="48"/>
      <c r="K469" s="48"/>
      <c r="L469" s="48"/>
      <c r="M469" s="48"/>
      <c r="N469" s="48"/>
      <c r="O469" s="48"/>
    </row>
    <row r="470" spans="2:15" s="46" customFormat="1" ht="15" customHeight="1">
      <c r="B470" s="47"/>
      <c r="C470" s="48"/>
      <c r="D470" s="48"/>
      <c r="E470" s="48"/>
      <c r="F470" s="48"/>
      <c r="G470" s="48"/>
      <c r="H470" s="48"/>
      <c r="I470" s="48"/>
      <c r="J470" s="48"/>
      <c r="K470" s="48"/>
      <c r="L470" s="48"/>
      <c r="M470" s="48"/>
      <c r="N470" s="48"/>
      <c r="O470" s="48"/>
    </row>
    <row r="471" spans="2:15" s="46" customFormat="1" ht="15" customHeight="1">
      <c r="B471" s="47"/>
      <c r="C471" s="48"/>
      <c r="D471" s="48"/>
      <c r="E471" s="48"/>
      <c r="F471" s="48"/>
      <c r="G471" s="48"/>
      <c r="H471" s="48"/>
      <c r="I471" s="48"/>
      <c r="J471" s="48"/>
      <c r="K471" s="48"/>
      <c r="L471" s="48"/>
      <c r="M471" s="48"/>
      <c r="N471" s="48"/>
      <c r="O471" s="48"/>
    </row>
    <row r="472" spans="2:15" s="46" customFormat="1" ht="15" customHeight="1">
      <c r="B472" s="47"/>
      <c r="C472" s="48"/>
      <c r="D472" s="48"/>
      <c r="E472" s="48"/>
      <c r="F472" s="48"/>
      <c r="G472" s="48"/>
      <c r="H472" s="48"/>
      <c r="I472" s="48"/>
      <c r="J472" s="48"/>
      <c r="K472" s="48"/>
      <c r="L472" s="48"/>
      <c r="M472" s="48"/>
      <c r="N472" s="48"/>
      <c r="O472" s="48"/>
    </row>
    <row r="473" spans="2:15" s="46" customFormat="1" ht="15" customHeight="1">
      <c r="B473" s="47"/>
      <c r="C473" s="48"/>
      <c r="D473" s="48"/>
      <c r="E473" s="48"/>
      <c r="F473" s="48"/>
      <c r="G473" s="48"/>
      <c r="H473" s="48"/>
      <c r="I473" s="48"/>
      <c r="J473" s="48"/>
      <c r="K473" s="48"/>
      <c r="L473" s="48"/>
      <c r="M473" s="48"/>
      <c r="N473" s="48"/>
      <c r="O473" s="48"/>
    </row>
    <row r="474" spans="2:15" s="46" customFormat="1" ht="15" customHeight="1">
      <c r="B474" s="47"/>
      <c r="C474" s="48"/>
      <c r="D474" s="48"/>
      <c r="E474" s="48"/>
      <c r="F474" s="48"/>
      <c r="G474" s="48"/>
      <c r="H474" s="48"/>
      <c r="I474" s="48"/>
      <c r="J474" s="48"/>
      <c r="K474" s="48"/>
      <c r="L474" s="48"/>
      <c r="M474" s="48"/>
      <c r="N474" s="48"/>
      <c r="O474" s="48"/>
    </row>
    <row r="475" spans="2:15" s="46" customFormat="1" ht="15" customHeight="1">
      <c r="B475" s="47"/>
      <c r="C475" s="48"/>
      <c r="D475" s="48"/>
      <c r="E475" s="48"/>
      <c r="F475" s="48"/>
      <c r="G475" s="48"/>
      <c r="H475" s="48"/>
      <c r="I475" s="48"/>
      <c r="J475" s="48"/>
      <c r="K475" s="48"/>
      <c r="L475" s="48"/>
      <c r="M475" s="48"/>
      <c r="N475" s="48"/>
      <c r="O475" s="48"/>
    </row>
    <row r="476" spans="2:15" s="46" customFormat="1" ht="15" customHeight="1">
      <c r="B476" s="47"/>
      <c r="C476" s="48"/>
      <c r="D476" s="48"/>
      <c r="E476" s="48"/>
      <c r="F476" s="48"/>
      <c r="G476" s="48"/>
      <c r="H476" s="48"/>
      <c r="I476" s="48"/>
      <c r="J476" s="48"/>
      <c r="K476" s="48"/>
      <c r="L476" s="48"/>
      <c r="M476" s="48"/>
      <c r="N476" s="48"/>
      <c r="O476" s="48"/>
    </row>
    <row r="477" spans="2:15" s="46" customFormat="1" ht="15" customHeight="1">
      <c r="B477" s="47"/>
      <c r="C477" s="48"/>
      <c r="D477" s="48"/>
      <c r="E477" s="48"/>
      <c r="F477" s="48"/>
      <c r="G477" s="48"/>
      <c r="H477" s="48"/>
      <c r="I477" s="48"/>
      <c r="J477" s="48"/>
      <c r="K477" s="48"/>
      <c r="L477" s="48"/>
      <c r="M477" s="48"/>
      <c r="N477" s="48"/>
      <c r="O477" s="48"/>
    </row>
    <row r="478" spans="2:15" s="46" customFormat="1" ht="15" customHeight="1">
      <c r="B478" s="47"/>
      <c r="C478" s="48"/>
      <c r="D478" s="48"/>
      <c r="E478" s="48"/>
      <c r="F478" s="48"/>
      <c r="G478" s="48"/>
      <c r="H478" s="48"/>
      <c r="I478" s="48"/>
      <c r="J478" s="48"/>
      <c r="K478" s="48"/>
      <c r="L478" s="48"/>
      <c r="M478" s="48"/>
      <c r="N478" s="48"/>
      <c r="O478" s="48"/>
    </row>
    <row r="479" spans="2:15" s="46" customFormat="1" ht="15" customHeight="1">
      <c r="B479" s="47"/>
      <c r="C479" s="48"/>
      <c r="D479" s="48"/>
      <c r="E479" s="48"/>
      <c r="F479" s="48"/>
      <c r="G479" s="48"/>
      <c r="H479" s="48"/>
      <c r="I479" s="48"/>
      <c r="J479" s="48"/>
      <c r="K479" s="48"/>
      <c r="L479" s="48"/>
      <c r="M479" s="48"/>
      <c r="N479" s="48"/>
      <c r="O479" s="48"/>
    </row>
    <row r="480" spans="2:15" s="46" customFormat="1" ht="15" customHeight="1">
      <c r="B480" s="47"/>
      <c r="C480" s="48"/>
      <c r="D480" s="48"/>
      <c r="E480" s="48"/>
      <c r="F480" s="48"/>
      <c r="G480" s="48"/>
      <c r="H480" s="48"/>
      <c r="I480" s="48"/>
      <c r="J480" s="48"/>
      <c r="K480" s="48"/>
      <c r="L480" s="48"/>
      <c r="M480" s="48"/>
      <c r="N480" s="48"/>
      <c r="O480" s="48"/>
    </row>
    <row r="481" spans="2:15" s="46" customFormat="1" ht="15" customHeight="1">
      <c r="B481" s="47"/>
      <c r="C481" s="48"/>
      <c r="D481" s="48"/>
      <c r="E481" s="48"/>
      <c r="F481" s="48"/>
      <c r="G481" s="48"/>
      <c r="H481" s="48"/>
      <c r="I481" s="48"/>
      <c r="J481" s="48"/>
      <c r="K481" s="48"/>
      <c r="L481" s="48"/>
      <c r="M481" s="48"/>
      <c r="N481" s="48"/>
      <c r="O481" s="48"/>
    </row>
    <row r="482" spans="2:15" s="46" customFormat="1" ht="15" customHeight="1">
      <c r="B482" s="47"/>
      <c r="C482" s="48"/>
      <c r="D482" s="48"/>
      <c r="E482" s="48"/>
      <c r="F482" s="48"/>
      <c r="G482" s="48"/>
      <c r="H482" s="48"/>
      <c r="I482" s="48"/>
      <c r="J482" s="48"/>
      <c r="K482" s="48"/>
      <c r="L482" s="48"/>
      <c r="M482" s="48"/>
      <c r="N482" s="48"/>
      <c r="O482" s="48"/>
    </row>
    <row r="483" spans="2:15" s="46" customFormat="1" ht="15" customHeight="1">
      <c r="B483" s="47"/>
      <c r="C483" s="48"/>
      <c r="D483" s="48"/>
      <c r="E483" s="48"/>
      <c r="F483" s="48"/>
      <c r="G483" s="48"/>
      <c r="H483" s="48"/>
      <c r="I483" s="48"/>
      <c r="J483" s="48"/>
      <c r="K483" s="48"/>
      <c r="L483" s="48"/>
      <c r="M483" s="48"/>
      <c r="N483" s="48"/>
      <c r="O483" s="48"/>
    </row>
    <row r="484" spans="2:15" s="46" customFormat="1" ht="15" customHeight="1">
      <c r="B484" s="47"/>
      <c r="C484" s="48"/>
      <c r="D484" s="48"/>
      <c r="E484" s="48"/>
      <c r="F484" s="48"/>
      <c r="G484" s="48"/>
      <c r="H484" s="48"/>
      <c r="I484" s="48"/>
      <c r="J484" s="48"/>
      <c r="K484" s="48"/>
      <c r="L484" s="48"/>
      <c r="M484" s="48"/>
      <c r="N484" s="48"/>
      <c r="O484" s="48"/>
    </row>
    <row r="485" spans="2:15" s="46" customFormat="1" ht="15" customHeight="1">
      <c r="B485" s="47"/>
      <c r="C485" s="48"/>
      <c r="D485" s="48"/>
      <c r="E485" s="48"/>
      <c r="F485" s="48"/>
      <c r="G485" s="48"/>
      <c r="H485" s="48"/>
      <c r="I485" s="48"/>
      <c r="J485" s="48"/>
      <c r="K485" s="48"/>
      <c r="L485" s="48"/>
      <c r="M485" s="48"/>
      <c r="N485" s="48"/>
      <c r="O485" s="48"/>
    </row>
    <row r="486" spans="2:15" s="46" customFormat="1" ht="15" customHeight="1">
      <c r="B486" s="47"/>
      <c r="C486" s="48"/>
      <c r="D486" s="48"/>
      <c r="E486" s="48"/>
      <c r="F486" s="48"/>
      <c r="G486" s="48"/>
      <c r="H486" s="48"/>
      <c r="I486" s="48"/>
      <c r="J486" s="48"/>
      <c r="K486" s="48"/>
      <c r="L486" s="48"/>
      <c r="M486" s="48"/>
      <c r="N486" s="48"/>
      <c r="O486" s="48"/>
    </row>
    <row r="487" spans="2:15" s="46" customFormat="1" ht="15" customHeight="1">
      <c r="B487" s="47"/>
      <c r="C487" s="48"/>
      <c r="D487" s="48"/>
      <c r="E487" s="48"/>
      <c r="F487" s="48"/>
      <c r="G487" s="48"/>
      <c r="H487" s="48"/>
      <c r="I487" s="48"/>
      <c r="J487" s="48"/>
      <c r="K487" s="48"/>
      <c r="L487" s="48"/>
      <c r="M487" s="48"/>
      <c r="N487" s="48"/>
      <c r="O487" s="48"/>
    </row>
    <row r="488" spans="2:15" s="46" customFormat="1" ht="15" customHeight="1">
      <c r="B488" s="47"/>
      <c r="C488" s="48"/>
      <c r="D488" s="48"/>
      <c r="E488" s="48"/>
      <c r="F488" s="48"/>
      <c r="G488" s="48"/>
      <c r="H488" s="48"/>
      <c r="I488" s="48"/>
      <c r="J488" s="48"/>
      <c r="K488" s="48"/>
      <c r="L488" s="48"/>
      <c r="M488" s="48"/>
      <c r="N488" s="48"/>
      <c r="O488" s="48"/>
    </row>
    <row r="489" spans="2:15" s="46" customFormat="1" ht="15" customHeight="1">
      <c r="B489" s="47"/>
      <c r="C489" s="48"/>
      <c r="D489" s="48"/>
      <c r="E489" s="48"/>
      <c r="F489" s="48"/>
      <c r="G489" s="48"/>
      <c r="H489" s="48"/>
      <c r="I489" s="48"/>
      <c r="J489" s="48"/>
      <c r="K489" s="48"/>
      <c r="L489" s="48"/>
      <c r="M489" s="48"/>
      <c r="N489" s="48"/>
      <c r="O489" s="48"/>
    </row>
    <row r="490" spans="2:15" s="46" customFormat="1" ht="15" customHeight="1">
      <c r="B490" s="47"/>
      <c r="C490" s="48"/>
      <c r="D490" s="48"/>
      <c r="E490" s="48"/>
      <c r="F490" s="48"/>
      <c r="G490" s="48"/>
      <c r="H490" s="48"/>
      <c r="I490" s="48"/>
      <c r="J490" s="48"/>
      <c r="K490" s="48"/>
      <c r="L490" s="48"/>
      <c r="M490" s="48"/>
      <c r="N490" s="48"/>
      <c r="O490" s="48"/>
    </row>
    <row r="491" spans="2:15" s="46" customFormat="1" ht="15" customHeight="1">
      <c r="B491" s="47"/>
      <c r="C491" s="48"/>
      <c r="D491" s="48"/>
      <c r="E491" s="48"/>
      <c r="F491" s="48"/>
      <c r="G491" s="48"/>
      <c r="H491" s="48"/>
      <c r="I491" s="48"/>
      <c r="J491" s="48"/>
      <c r="K491" s="48"/>
      <c r="L491" s="48"/>
      <c r="M491" s="48"/>
      <c r="N491" s="48"/>
      <c r="O491" s="48"/>
    </row>
    <row r="492" spans="2:15" s="46" customFormat="1" ht="15" customHeight="1">
      <c r="B492" s="47"/>
      <c r="C492" s="48"/>
      <c r="D492" s="48"/>
      <c r="E492" s="48"/>
      <c r="F492" s="48"/>
      <c r="G492" s="48"/>
      <c r="H492" s="48"/>
      <c r="I492" s="48"/>
      <c r="J492" s="48"/>
      <c r="K492" s="48"/>
      <c r="L492" s="48"/>
      <c r="M492" s="48"/>
      <c r="N492" s="48"/>
      <c r="O492" s="48"/>
    </row>
    <row r="493" spans="2:15" s="46" customFormat="1" ht="15" customHeight="1">
      <c r="B493" s="47"/>
      <c r="C493" s="48"/>
      <c r="D493" s="48"/>
      <c r="E493" s="48"/>
      <c r="F493" s="48"/>
      <c r="G493" s="48"/>
      <c r="H493" s="48"/>
      <c r="I493" s="48"/>
      <c r="J493" s="48"/>
      <c r="K493" s="48"/>
      <c r="L493" s="48"/>
      <c r="M493" s="48"/>
      <c r="N493" s="48"/>
      <c r="O493" s="48"/>
    </row>
    <row r="494" spans="2:15" s="46" customFormat="1" ht="15" customHeight="1">
      <c r="B494" s="47"/>
      <c r="C494" s="48"/>
      <c r="D494" s="48"/>
      <c r="E494" s="48"/>
      <c r="F494" s="48"/>
      <c r="G494" s="48"/>
      <c r="H494" s="48"/>
      <c r="I494" s="48"/>
      <c r="J494" s="48"/>
      <c r="K494" s="48"/>
      <c r="L494" s="48"/>
      <c r="M494" s="48"/>
      <c r="N494" s="48"/>
      <c r="O494" s="48"/>
    </row>
    <row r="495" spans="2:15" s="46" customFormat="1" ht="15" customHeight="1">
      <c r="B495" s="47"/>
      <c r="C495" s="48"/>
      <c r="D495" s="48"/>
      <c r="E495" s="48"/>
      <c r="F495" s="48"/>
      <c r="G495" s="48"/>
      <c r="H495" s="48"/>
      <c r="I495" s="48"/>
      <c r="J495" s="48"/>
      <c r="K495" s="48"/>
      <c r="L495" s="48"/>
      <c r="M495" s="48"/>
      <c r="N495" s="48"/>
      <c r="O495" s="48"/>
    </row>
    <row r="496" spans="2:15" s="46" customFormat="1" ht="15" customHeight="1">
      <c r="B496" s="47"/>
      <c r="C496" s="48"/>
      <c r="D496" s="48"/>
      <c r="E496" s="48"/>
      <c r="F496" s="48"/>
      <c r="G496" s="48"/>
      <c r="H496" s="48"/>
      <c r="I496" s="48"/>
      <c r="J496" s="48"/>
      <c r="K496" s="48"/>
      <c r="L496" s="48"/>
      <c r="M496" s="48"/>
      <c r="N496" s="48"/>
      <c r="O496" s="48"/>
    </row>
    <row r="497" spans="2:15" s="46" customFormat="1" ht="15" customHeight="1">
      <c r="B497" s="47"/>
      <c r="C497" s="48"/>
      <c r="D497" s="48"/>
      <c r="E497" s="48"/>
      <c r="F497" s="48"/>
      <c r="G497" s="48"/>
      <c r="H497" s="48"/>
      <c r="I497" s="48"/>
      <c r="J497" s="48"/>
      <c r="K497" s="48"/>
      <c r="L497" s="48"/>
      <c r="M497" s="48"/>
      <c r="N497" s="48"/>
      <c r="O497" s="48"/>
    </row>
    <row r="498" spans="2:15" s="46" customFormat="1" ht="15" customHeight="1">
      <c r="B498" s="47"/>
      <c r="C498" s="48"/>
      <c r="D498" s="48"/>
      <c r="E498" s="48"/>
      <c r="F498" s="48"/>
      <c r="G498" s="48"/>
      <c r="H498" s="48"/>
      <c r="I498" s="48"/>
      <c r="J498" s="48"/>
      <c r="K498" s="48"/>
      <c r="L498" s="48"/>
      <c r="M498" s="48"/>
      <c r="N498" s="48"/>
      <c r="O498" s="48"/>
    </row>
    <row r="499" spans="2:15" s="46" customFormat="1" ht="15" customHeight="1">
      <c r="B499" s="47"/>
      <c r="C499" s="48"/>
      <c r="D499" s="48"/>
      <c r="E499" s="48"/>
      <c r="F499" s="48"/>
      <c r="G499" s="48"/>
      <c r="H499" s="48"/>
      <c r="I499" s="48"/>
      <c r="J499" s="48"/>
      <c r="K499" s="48"/>
      <c r="L499" s="48"/>
      <c r="M499" s="48"/>
      <c r="N499" s="48"/>
      <c r="O499" s="48"/>
    </row>
    <row r="500" spans="2:15" s="46" customFormat="1" ht="15" customHeight="1">
      <c r="B500" s="47"/>
      <c r="C500" s="48"/>
      <c r="D500" s="48"/>
      <c r="E500" s="48"/>
      <c r="F500" s="48"/>
      <c r="G500" s="48"/>
      <c r="H500" s="48"/>
      <c r="I500" s="48"/>
      <c r="J500" s="48"/>
      <c r="K500" s="48"/>
      <c r="L500" s="48"/>
      <c r="M500" s="48"/>
      <c r="N500" s="48"/>
      <c r="O500" s="48"/>
    </row>
    <row r="501" spans="2:15" s="46" customFormat="1" ht="15" customHeight="1">
      <c r="B501" s="47"/>
      <c r="C501" s="48"/>
      <c r="D501" s="48"/>
      <c r="E501" s="48"/>
      <c r="F501" s="48"/>
      <c r="G501" s="48"/>
      <c r="H501" s="48"/>
      <c r="I501" s="48"/>
      <c r="J501" s="48"/>
      <c r="K501" s="48"/>
      <c r="L501" s="48"/>
      <c r="M501" s="48"/>
      <c r="N501" s="48"/>
      <c r="O501" s="48"/>
    </row>
    <row r="502" spans="2:15" s="46" customFormat="1" ht="15" customHeight="1">
      <c r="B502" s="47"/>
      <c r="C502" s="48"/>
      <c r="D502" s="48"/>
      <c r="E502" s="48"/>
      <c r="F502" s="48"/>
      <c r="G502" s="48"/>
      <c r="H502" s="48"/>
      <c r="I502" s="48"/>
      <c r="J502" s="48"/>
      <c r="K502" s="48"/>
      <c r="L502" s="48"/>
      <c r="M502" s="48"/>
      <c r="N502" s="48"/>
      <c r="O502" s="48"/>
    </row>
    <row r="503" spans="2:15" s="46" customFormat="1" ht="15" customHeight="1">
      <c r="B503" s="47"/>
      <c r="C503" s="48"/>
      <c r="D503" s="48"/>
      <c r="E503" s="48"/>
      <c r="F503" s="48"/>
      <c r="G503" s="48"/>
      <c r="H503" s="48"/>
      <c r="I503" s="48"/>
      <c r="J503" s="48"/>
      <c r="K503" s="48"/>
      <c r="L503" s="48"/>
      <c r="M503" s="48"/>
      <c r="N503" s="48"/>
      <c r="O503" s="48"/>
    </row>
    <row r="504" spans="2:15" s="46" customFormat="1" ht="15" customHeight="1">
      <c r="B504" s="47"/>
      <c r="C504" s="48"/>
      <c r="D504" s="48"/>
      <c r="E504" s="48"/>
      <c r="F504" s="48"/>
      <c r="G504" s="48"/>
      <c r="H504" s="48"/>
      <c r="I504" s="48"/>
      <c r="J504" s="48"/>
      <c r="K504" s="48"/>
      <c r="L504" s="48"/>
      <c r="M504" s="48"/>
      <c r="N504" s="48"/>
      <c r="O504" s="48"/>
    </row>
    <row r="505" spans="2:15" s="46" customFormat="1" ht="15" customHeight="1">
      <c r="B505" s="47"/>
      <c r="C505" s="48"/>
      <c r="D505" s="48"/>
      <c r="E505" s="48"/>
      <c r="F505" s="48"/>
      <c r="G505" s="48"/>
      <c r="H505" s="48"/>
      <c r="I505" s="48"/>
      <c r="J505" s="48"/>
      <c r="K505" s="48"/>
      <c r="L505" s="48"/>
      <c r="M505" s="48"/>
      <c r="N505" s="48"/>
      <c r="O505" s="48"/>
    </row>
    <row r="506" spans="2:15" s="46" customFormat="1" ht="15" customHeight="1">
      <c r="B506" s="47"/>
      <c r="C506" s="48"/>
      <c r="D506" s="48"/>
      <c r="E506" s="48"/>
      <c r="F506" s="48"/>
      <c r="G506" s="48"/>
      <c r="H506" s="48"/>
      <c r="I506" s="48"/>
      <c r="J506" s="48"/>
      <c r="K506" s="48"/>
      <c r="L506" s="48"/>
      <c r="M506" s="48"/>
      <c r="N506" s="48"/>
      <c r="O506" s="48"/>
    </row>
    <row r="507" spans="2:15" s="46" customFormat="1" ht="15" customHeight="1">
      <c r="B507" s="47"/>
      <c r="C507" s="48"/>
      <c r="D507" s="48"/>
      <c r="E507" s="48"/>
      <c r="F507" s="48"/>
      <c r="G507" s="48"/>
      <c r="H507" s="48"/>
      <c r="I507" s="48"/>
      <c r="J507" s="48"/>
      <c r="K507" s="48"/>
      <c r="L507" s="48"/>
      <c r="M507" s="48"/>
      <c r="N507" s="48"/>
      <c r="O507" s="48"/>
    </row>
    <row r="508" spans="2:15" s="46" customFormat="1" ht="15" customHeight="1">
      <c r="B508" s="47"/>
      <c r="C508" s="48"/>
      <c r="D508" s="48"/>
      <c r="E508" s="48"/>
      <c r="F508" s="48"/>
      <c r="G508" s="48"/>
      <c r="H508" s="48"/>
      <c r="I508" s="48"/>
      <c r="J508" s="48"/>
      <c r="K508" s="48"/>
      <c r="L508" s="48"/>
      <c r="M508" s="48"/>
      <c r="N508" s="48"/>
      <c r="O508" s="48"/>
    </row>
    <row r="509" spans="2:15" s="46" customFormat="1" ht="15" customHeight="1">
      <c r="B509" s="47"/>
      <c r="C509" s="48"/>
      <c r="D509" s="48"/>
      <c r="E509" s="48"/>
      <c r="F509" s="48"/>
      <c r="G509" s="48"/>
      <c r="H509" s="48"/>
      <c r="I509" s="48"/>
      <c r="J509" s="48"/>
      <c r="K509" s="48"/>
      <c r="L509" s="48"/>
      <c r="M509" s="48"/>
      <c r="N509" s="48"/>
      <c r="O509" s="48"/>
    </row>
    <row r="510" spans="2:15" s="46" customFormat="1" ht="15" customHeight="1">
      <c r="B510" s="47"/>
      <c r="C510" s="48"/>
      <c r="D510" s="48"/>
      <c r="E510" s="48"/>
      <c r="F510" s="48"/>
      <c r="G510" s="48"/>
      <c r="H510" s="48"/>
      <c r="I510" s="48"/>
      <c r="J510" s="48"/>
      <c r="K510" s="48"/>
      <c r="L510" s="48"/>
      <c r="M510" s="48"/>
      <c r="N510" s="48"/>
      <c r="O510" s="48"/>
    </row>
    <row r="511" spans="2:15" s="46" customFormat="1" ht="15" customHeight="1">
      <c r="B511" s="47"/>
      <c r="C511" s="48"/>
      <c r="D511" s="48"/>
      <c r="E511" s="48"/>
      <c r="F511" s="48"/>
      <c r="G511" s="48"/>
      <c r="H511" s="48"/>
      <c r="I511" s="48"/>
      <c r="J511" s="48"/>
      <c r="K511" s="48"/>
      <c r="L511" s="48"/>
      <c r="M511" s="48"/>
      <c r="N511" s="48"/>
      <c r="O511" s="48"/>
    </row>
    <row r="512" spans="2:15" s="46" customFormat="1" ht="15" customHeight="1">
      <c r="B512" s="47"/>
      <c r="C512" s="48"/>
      <c r="D512" s="48"/>
      <c r="E512" s="48"/>
      <c r="F512" s="48"/>
      <c r="G512" s="48"/>
      <c r="H512" s="48"/>
      <c r="I512" s="48"/>
      <c r="J512" s="48"/>
      <c r="K512" s="48"/>
      <c r="L512" s="48"/>
      <c r="M512" s="48"/>
      <c r="N512" s="48"/>
      <c r="O512" s="48"/>
    </row>
    <row r="513" spans="2:15" s="46" customFormat="1" ht="15" customHeight="1">
      <c r="B513" s="47"/>
      <c r="C513" s="48"/>
      <c r="D513" s="48"/>
      <c r="E513" s="48"/>
      <c r="F513" s="48"/>
      <c r="G513" s="48"/>
      <c r="H513" s="48"/>
      <c r="I513" s="48"/>
      <c r="J513" s="48"/>
      <c r="K513" s="48"/>
      <c r="L513" s="48"/>
      <c r="M513" s="48"/>
      <c r="N513" s="48"/>
      <c r="O513" s="48"/>
    </row>
    <row r="514" spans="2:15" s="46" customFormat="1" ht="15" customHeight="1">
      <c r="B514" s="47"/>
      <c r="C514" s="48"/>
      <c r="D514" s="48"/>
      <c r="E514" s="48"/>
      <c r="F514" s="48"/>
      <c r="G514" s="48"/>
      <c r="H514" s="48"/>
      <c r="I514" s="48"/>
      <c r="J514" s="48"/>
      <c r="K514" s="48"/>
      <c r="L514" s="48"/>
      <c r="M514" s="48"/>
      <c r="N514" s="48"/>
      <c r="O514" s="48"/>
    </row>
    <row r="515" spans="2:15" s="46" customFormat="1" ht="15" customHeight="1">
      <c r="B515" s="47"/>
      <c r="C515" s="48"/>
      <c r="D515" s="48"/>
      <c r="E515" s="48"/>
      <c r="F515" s="48"/>
      <c r="G515" s="48"/>
      <c r="H515" s="48"/>
      <c r="I515" s="48"/>
      <c r="J515" s="48"/>
      <c r="K515" s="48"/>
      <c r="L515" s="48"/>
      <c r="M515" s="48"/>
      <c r="N515" s="48"/>
      <c r="O515" s="48"/>
    </row>
    <row r="516" spans="2:15" s="46" customFormat="1" ht="15" customHeight="1">
      <c r="B516" s="47"/>
      <c r="C516" s="48"/>
      <c r="D516" s="48"/>
      <c r="E516" s="48"/>
      <c r="F516" s="48"/>
      <c r="G516" s="48"/>
      <c r="H516" s="48"/>
      <c r="I516" s="48"/>
      <c r="J516" s="48"/>
      <c r="K516" s="48"/>
      <c r="L516" s="48"/>
      <c r="M516" s="48"/>
      <c r="N516" s="48"/>
      <c r="O516" s="48"/>
    </row>
    <row r="517" spans="2:15" s="46" customFormat="1" ht="15" customHeight="1">
      <c r="B517" s="47"/>
      <c r="C517" s="48"/>
      <c r="D517" s="48"/>
      <c r="E517" s="48"/>
      <c r="F517" s="48"/>
      <c r="G517" s="48"/>
      <c r="H517" s="48"/>
      <c r="I517" s="48"/>
      <c r="J517" s="48"/>
      <c r="K517" s="48"/>
      <c r="L517" s="48"/>
      <c r="M517" s="48"/>
      <c r="N517" s="48"/>
      <c r="O517" s="48"/>
    </row>
  </sheetData>
  <mergeCells count="39">
    <mergeCell ref="D15:G15"/>
    <mergeCell ref="D14:G14"/>
    <mergeCell ref="D13:G13"/>
    <mergeCell ref="D12:G12"/>
    <mergeCell ref="P14:S14"/>
    <mergeCell ref="P15:S15"/>
    <mergeCell ref="H14:K14"/>
    <mergeCell ref="H15:K15"/>
    <mergeCell ref="L14:O14"/>
    <mergeCell ref="L15:O15"/>
    <mergeCell ref="B12:C12"/>
    <mergeCell ref="H12:K12"/>
    <mergeCell ref="L12:O12"/>
    <mergeCell ref="P12:S12"/>
    <mergeCell ref="H13:K13"/>
    <mergeCell ref="L13:O13"/>
    <mergeCell ref="P13:S13"/>
    <mergeCell ref="H16:K16"/>
    <mergeCell ref="L16:O16"/>
    <mergeCell ref="P16:S16"/>
    <mergeCell ref="B17:C17"/>
    <mergeCell ref="H17:K17"/>
    <mergeCell ref="L17:O17"/>
    <mergeCell ref="P17:S17"/>
    <mergeCell ref="D16:G16"/>
    <mergeCell ref="D17:G17"/>
    <mergeCell ref="B8:C8"/>
    <mergeCell ref="L8:O8"/>
    <mergeCell ref="C5:K5"/>
    <mergeCell ref="L5:O5"/>
    <mergeCell ref="C6:K6"/>
    <mergeCell ref="L6:O6"/>
    <mergeCell ref="C7:K7"/>
    <mergeCell ref="L7:O7"/>
    <mergeCell ref="B1:O1"/>
    <mergeCell ref="B3:K3"/>
    <mergeCell ref="L3:O3"/>
    <mergeCell ref="C4:K4"/>
    <mergeCell ref="L4:O4"/>
  </mergeCells>
  <pageMargins left="0.511811023622047" right="0.511811023622047" top="0.55118110236220497" bottom="0.55118110236220497" header="0.31496062992126" footer="0.31496062992126"/>
  <pageSetup paperSize="9" scale="77"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249977111117893"/>
  </sheetPr>
  <dimension ref="A1:O22"/>
  <sheetViews>
    <sheetView showGridLines="0" workbookViewId="0">
      <selection activeCell="C4" sqref="C4"/>
    </sheetView>
  </sheetViews>
  <sheetFormatPr baseColWidth="10" defaultColWidth="11.44140625" defaultRowHeight="13.2"/>
  <cols>
    <col min="1" max="1" width="15.6640625" style="1" customWidth="1"/>
    <col min="2" max="2" width="2.33203125" style="1" customWidth="1"/>
    <col min="3" max="3" width="11.33203125" style="2" customWidth="1"/>
    <col min="4" max="4" width="67.6640625" style="3" customWidth="1"/>
    <col min="5" max="5" width="22.88671875" style="2" customWidth="1"/>
    <col min="6" max="6" width="15.6640625" style="4" customWidth="1"/>
    <col min="7" max="7" width="19.44140625" style="1" customWidth="1"/>
    <col min="8" max="8" width="15" style="1" customWidth="1"/>
    <col min="9" max="10" width="15" style="1" hidden="1" customWidth="1"/>
    <col min="11" max="11" width="20.5546875" style="1" customWidth="1"/>
    <col min="12" max="16384" width="11.44140625" style="1"/>
  </cols>
  <sheetData>
    <row r="1" spans="1:15" ht="15" customHeight="1">
      <c r="A1" s="40"/>
      <c r="B1" s="21"/>
      <c r="C1" s="889" t="s">
        <v>795</v>
      </c>
      <c r="D1" s="889"/>
      <c r="E1" s="889"/>
      <c r="F1" s="889"/>
      <c r="G1" s="889"/>
      <c r="H1" s="889"/>
      <c r="I1" s="889"/>
      <c r="J1" s="889"/>
      <c r="K1" s="890"/>
      <c r="L1" s="17"/>
      <c r="M1" s="17"/>
      <c r="N1" s="17"/>
      <c r="O1" s="17"/>
    </row>
    <row r="2" spans="1:15" ht="43.2">
      <c r="A2" s="41" t="s">
        <v>567</v>
      </c>
      <c r="B2" s="22"/>
      <c r="C2" s="496" t="s">
        <v>548</v>
      </c>
      <c r="D2" s="488" t="s">
        <v>294</v>
      </c>
      <c r="E2" s="488" t="s">
        <v>549</v>
      </c>
      <c r="F2" s="488" t="s">
        <v>550</v>
      </c>
      <c r="G2" s="488" t="s">
        <v>1005</v>
      </c>
      <c r="H2" s="488" t="s">
        <v>552</v>
      </c>
      <c r="I2" s="488" t="s">
        <v>1003</v>
      </c>
      <c r="J2" s="488" t="s">
        <v>1004</v>
      </c>
      <c r="K2" s="488" t="s">
        <v>553</v>
      </c>
      <c r="L2" s="18"/>
      <c r="M2" s="18"/>
      <c r="N2" s="18"/>
      <c r="O2" s="44"/>
    </row>
    <row r="3" spans="1:15" ht="15" customHeight="1">
      <c r="A3" s="265"/>
      <c r="B3" s="25"/>
      <c r="C3" s="265"/>
      <c r="D3" s="265" t="s">
        <v>796</v>
      </c>
      <c r="E3" s="265"/>
      <c r="F3" s="265"/>
      <c r="G3" s="265"/>
      <c r="H3" s="265"/>
      <c r="I3" s="265"/>
      <c r="J3" s="265"/>
      <c r="K3" s="265"/>
      <c r="L3" s="19"/>
      <c r="M3"/>
      <c r="N3"/>
      <c r="O3"/>
    </row>
    <row r="4" spans="1:15" ht="15" customHeight="1">
      <c r="A4" s="42"/>
      <c r="B4" s="26"/>
      <c r="C4" s="43">
        <f>O9</f>
        <v>27</v>
      </c>
      <c r="D4" s="6" t="s">
        <v>797</v>
      </c>
      <c r="E4" s="11">
        <v>120</v>
      </c>
      <c r="F4" s="8">
        <v>1</v>
      </c>
      <c r="G4" s="7">
        <f>E4/F4</f>
        <v>120</v>
      </c>
      <c r="H4" s="61"/>
      <c r="I4" s="61"/>
      <c r="J4" s="61"/>
      <c r="K4" s="7">
        <f>G4*C4+H4*C4</f>
        <v>3240</v>
      </c>
      <c r="L4" s="20"/>
      <c r="M4" s="870" t="s">
        <v>109</v>
      </c>
      <c r="N4" s="871"/>
      <c r="O4" s="45">
        <f>'C.1.1.Vestuario_Equip'!M4</f>
        <v>87</v>
      </c>
    </row>
    <row r="5" spans="1:15" ht="15" customHeight="1">
      <c r="A5" s="42"/>
      <c r="B5" s="26"/>
      <c r="C5" s="282"/>
      <c r="D5" s="265" t="s">
        <v>798</v>
      </c>
      <c r="E5" s="283"/>
      <c r="F5" s="265"/>
      <c r="G5" s="265"/>
      <c r="H5" s="265"/>
      <c r="I5" s="265"/>
      <c r="J5" s="265"/>
      <c r="K5" s="265"/>
      <c r="L5" s="20"/>
      <c r="M5" s="870" t="s">
        <v>557</v>
      </c>
      <c r="N5" s="871"/>
      <c r="O5" s="45">
        <f>'C.1.1.Vestuario_Equip'!M5</f>
        <v>1</v>
      </c>
    </row>
    <row r="6" spans="1:15" ht="15" customHeight="1">
      <c r="A6" s="42">
        <v>2</v>
      </c>
      <c r="B6" s="26"/>
      <c r="C6" s="43">
        <f>(O4/10)*A6+O5+O6</f>
        <v>21.4</v>
      </c>
      <c r="D6" s="28" t="s">
        <v>799</v>
      </c>
      <c r="E6" s="439">
        <v>250</v>
      </c>
      <c r="F6" s="30">
        <v>4</v>
      </c>
      <c r="G6" s="29">
        <f>E6/F6</f>
        <v>62.5</v>
      </c>
      <c r="H6" s="29">
        <f>E6*'B. Resumen Costes Veh_Maq'!D9</f>
        <v>13.5</v>
      </c>
      <c r="I6" s="29">
        <f>G6*C6</f>
        <v>1337.5</v>
      </c>
      <c r="J6" s="29">
        <f>H6*C6</f>
        <v>288.89999999999998</v>
      </c>
      <c r="K6" s="29">
        <f>G6*C6+H6*C6</f>
        <v>1626.4</v>
      </c>
      <c r="L6" s="20"/>
      <c r="M6" s="870" t="s">
        <v>559</v>
      </c>
      <c r="N6" s="871"/>
      <c r="O6" s="45">
        <f>'C.1.1.Vestuario_Equip'!M6</f>
        <v>3</v>
      </c>
    </row>
    <row r="7" spans="1:15" ht="15" customHeight="1">
      <c r="A7" s="42">
        <v>2</v>
      </c>
      <c r="B7" s="26"/>
      <c r="C7" s="43">
        <f>(O4/10)*A7</f>
        <v>17.399999999999999</v>
      </c>
      <c r="D7" s="28" t="s">
        <v>800</v>
      </c>
      <c r="E7" s="439">
        <v>450</v>
      </c>
      <c r="F7" s="30">
        <v>4</v>
      </c>
      <c r="G7" s="29">
        <f>E7/F7</f>
        <v>112.5</v>
      </c>
      <c r="H7" s="29">
        <f>E7*'B. Resumen Costes Veh_Maq'!D9</f>
        <v>24.3</v>
      </c>
      <c r="I7" s="29">
        <f>G7*C7</f>
        <v>1957.4999999999998</v>
      </c>
      <c r="J7" s="29">
        <f>H7*C7</f>
        <v>422.82</v>
      </c>
      <c r="K7" s="29">
        <f>G7*C7+H7*C7</f>
        <v>2380.3199999999997</v>
      </c>
      <c r="L7" s="20"/>
      <c r="M7" s="17"/>
      <c r="N7" s="17"/>
      <c r="O7" s="17"/>
    </row>
    <row r="8" spans="1:15" ht="15" customHeight="1">
      <c r="A8" s="42">
        <v>2</v>
      </c>
      <c r="B8" s="26"/>
      <c r="C8" s="43">
        <f>C7+C6</f>
        <v>38.799999999999997</v>
      </c>
      <c r="D8" s="6" t="s">
        <v>801</v>
      </c>
      <c r="E8" s="11">
        <v>180</v>
      </c>
      <c r="F8" s="8">
        <v>1</v>
      </c>
      <c r="G8" s="7">
        <f>E8/F8</f>
        <v>180</v>
      </c>
      <c r="H8" s="9"/>
      <c r="I8" s="9"/>
      <c r="J8" s="9"/>
      <c r="K8" s="7">
        <f>G8*C8+H8*C8</f>
        <v>6983.9999999999991</v>
      </c>
      <c r="L8" s="20"/>
      <c r="M8" s="17"/>
      <c r="N8" s="17"/>
      <c r="O8" s="17"/>
    </row>
    <row r="9" spans="1:15" ht="15" customHeight="1">
      <c r="A9" s="42"/>
      <c r="C9" s="282"/>
      <c r="D9" s="265" t="s">
        <v>802</v>
      </c>
      <c r="E9" s="283"/>
      <c r="F9" s="265"/>
      <c r="G9" s="265"/>
      <c r="H9" s="265"/>
      <c r="I9" s="265"/>
      <c r="J9" s="265"/>
      <c r="K9" s="265"/>
      <c r="L9" s="20"/>
      <c r="M9" s="870" t="s">
        <v>803</v>
      </c>
      <c r="N9" s="871"/>
      <c r="O9" s="45">
        <f>SUM('B.1.Vehículos'!A8:A24)+SUM('B.1.Vehículos'!A26:A34)+SUM('B.1.Vehículos'!A36:A38)+SUM('B.1.Vehículos'!A40:A47)+SUM('B.1.Vehículos'!A49:A62)</f>
        <v>27</v>
      </c>
    </row>
    <row r="10" spans="1:15" ht="15" customHeight="1">
      <c r="A10" s="42">
        <v>1</v>
      </c>
      <c r="C10" s="43">
        <f>(O4/10)*A10+O5+O6</f>
        <v>12.7</v>
      </c>
      <c r="D10" s="28" t="s">
        <v>804</v>
      </c>
      <c r="E10" s="439">
        <v>750</v>
      </c>
      <c r="F10" s="30">
        <v>4</v>
      </c>
      <c r="G10" s="29">
        <f>E10/F10</f>
        <v>187.5</v>
      </c>
      <c r="H10" s="29">
        <f>E10*'B. Resumen Costes Veh_Maq'!D9</f>
        <v>40.5</v>
      </c>
      <c r="I10" s="29">
        <f>G10*C10</f>
        <v>2381.25</v>
      </c>
      <c r="J10" s="29">
        <f>H10*C10</f>
        <v>514.35</v>
      </c>
      <c r="K10" s="29">
        <f>G10*C10+H10*C10</f>
        <v>2895.6</v>
      </c>
      <c r="M10" s="870" t="s">
        <v>805</v>
      </c>
      <c r="N10" s="871"/>
      <c r="O10" s="45">
        <f>D.1_2_Locales_Inst!A4+D.1_2_Locales_Inst!A5+D.1_2_Locales_Inst!A6</f>
        <v>1</v>
      </c>
    </row>
    <row r="11" spans="1:15" ht="15" customHeight="1">
      <c r="A11" s="42">
        <v>1</v>
      </c>
      <c r="C11" s="43">
        <f>O10</f>
        <v>1</v>
      </c>
      <c r="D11" s="6" t="s">
        <v>806</v>
      </c>
      <c r="E11" s="11">
        <v>750</v>
      </c>
      <c r="F11" s="8">
        <v>1</v>
      </c>
      <c r="G11" s="7">
        <f>E11/F11</f>
        <v>750</v>
      </c>
      <c r="H11" s="9"/>
      <c r="I11" s="9"/>
      <c r="J11" s="9"/>
      <c r="K11" s="7">
        <f>G11*C11+H11*C11</f>
        <v>750</v>
      </c>
    </row>
    <row r="12" spans="1:15" ht="15" customHeight="1">
      <c r="A12" s="42"/>
      <c r="C12" s="282"/>
      <c r="D12" s="265" t="s">
        <v>807</v>
      </c>
      <c r="E12" s="283"/>
      <c r="F12" s="265"/>
      <c r="G12" s="265"/>
      <c r="H12" s="265"/>
      <c r="I12" s="265"/>
      <c r="J12" s="265"/>
      <c r="K12" s="265"/>
    </row>
    <row r="13" spans="1:15" ht="15" customHeight="1">
      <c r="A13" s="42"/>
      <c r="C13" s="43">
        <f>C10</f>
        <v>12.7</v>
      </c>
      <c r="D13" s="6" t="s">
        <v>808</v>
      </c>
      <c r="E13" s="11">
        <v>200</v>
      </c>
      <c r="F13" s="8">
        <v>1</v>
      </c>
      <c r="G13" s="7">
        <f t="shared" ref="G13:G21" si="0">E13/F13</f>
        <v>200</v>
      </c>
      <c r="H13" s="9"/>
      <c r="I13" s="9"/>
      <c r="J13" s="9"/>
      <c r="K13" s="7">
        <f t="shared" ref="K13:K21" si="1">G13*C13+H13*C13</f>
        <v>2540</v>
      </c>
    </row>
    <row r="14" spans="1:15" ht="15" customHeight="1">
      <c r="A14" s="42"/>
      <c r="C14" s="10">
        <f>O6</f>
        <v>3</v>
      </c>
      <c r="D14" s="6" t="s">
        <v>809</v>
      </c>
      <c r="E14" s="11">
        <v>25</v>
      </c>
      <c r="F14" s="8">
        <v>1</v>
      </c>
      <c r="G14" s="7">
        <f t="shared" si="0"/>
        <v>25</v>
      </c>
      <c r="H14" s="9"/>
      <c r="I14" s="9"/>
      <c r="J14" s="9"/>
      <c r="K14" s="7">
        <f t="shared" si="1"/>
        <v>75</v>
      </c>
    </row>
    <row r="15" spans="1:15" ht="15" customHeight="1">
      <c r="A15" s="42"/>
      <c r="C15" s="10">
        <f>O6</f>
        <v>3</v>
      </c>
      <c r="D15" s="6" t="s">
        <v>810</v>
      </c>
      <c r="E15" s="11">
        <v>75</v>
      </c>
      <c r="F15" s="8">
        <v>1</v>
      </c>
      <c r="G15" s="7">
        <f t="shared" si="0"/>
        <v>75</v>
      </c>
      <c r="H15" s="9"/>
      <c r="I15" s="9"/>
      <c r="J15" s="9"/>
      <c r="K15" s="7">
        <f t="shared" si="1"/>
        <v>225</v>
      </c>
    </row>
    <row r="16" spans="1:15" ht="15" customHeight="1">
      <c r="A16" s="42"/>
      <c r="C16" s="10">
        <f>O6</f>
        <v>3</v>
      </c>
      <c r="D16" s="6" t="s">
        <v>811</v>
      </c>
      <c r="E16" s="11">
        <v>150</v>
      </c>
      <c r="F16" s="8">
        <v>1</v>
      </c>
      <c r="G16" s="7">
        <f t="shared" si="0"/>
        <v>150</v>
      </c>
      <c r="H16" s="9"/>
      <c r="I16" s="9"/>
      <c r="J16" s="9"/>
      <c r="K16" s="7">
        <f t="shared" si="1"/>
        <v>450</v>
      </c>
    </row>
    <row r="17" spans="1:14" ht="15" customHeight="1">
      <c r="A17" s="42"/>
      <c r="C17" s="10">
        <v>1</v>
      </c>
      <c r="D17" s="6" t="s">
        <v>1036</v>
      </c>
      <c r="E17" s="11">
        <v>1500</v>
      </c>
      <c r="F17" s="8">
        <v>1</v>
      </c>
      <c r="G17" s="7">
        <f t="shared" si="0"/>
        <v>1500</v>
      </c>
      <c r="H17" s="9"/>
      <c r="I17" s="9"/>
      <c r="J17" s="9"/>
      <c r="K17" s="7">
        <f t="shared" si="1"/>
        <v>1500</v>
      </c>
    </row>
    <row r="18" spans="1:14" ht="15" customHeight="1">
      <c r="A18" s="42"/>
      <c r="C18" s="10">
        <v>20</v>
      </c>
      <c r="D18" s="6" t="s">
        <v>1039</v>
      </c>
      <c r="E18" s="11">
        <v>425</v>
      </c>
      <c r="F18" s="8">
        <v>1</v>
      </c>
      <c r="G18" s="7">
        <f t="shared" si="0"/>
        <v>425</v>
      </c>
      <c r="H18" s="9"/>
      <c r="I18" s="9"/>
      <c r="J18" s="9"/>
      <c r="K18" s="7">
        <f t="shared" ref="K18" si="2">G18*C18+H18*C18</f>
        <v>8500</v>
      </c>
    </row>
    <row r="19" spans="1:14" ht="15" customHeight="1">
      <c r="A19" s="42"/>
      <c r="C19" s="10">
        <v>1</v>
      </c>
      <c r="D19" s="6" t="s">
        <v>1041</v>
      </c>
      <c r="E19" s="11">
        <v>500</v>
      </c>
      <c r="F19" s="8">
        <v>1</v>
      </c>
      <c r="G19" s="7">
        <f t="shared" si="0"/>
        <v>500</v>
      </c>
      <c r="H19" s="9"/>
      <c r="I19" s="9"/>
      <c r="J19" s="9"/>
      <c r="K19" s="7">
        <f t="shared" si="1"/>
        <v>500</v>
      </c>
    </row>
    <row r="20" spans="1:14" ht="15" customHeight="1">
      <c r="A20" s="42"/>
      <c r="C20" s="10">
        <v>83</v>
      </c>
      <c r="D20" s="6" t="s">
        <v>1040</v>
      </c>
      <c r="E20" s="11">
        <v>60</v>
      </c>
      <c r="F20" s="8">
        <v>1</v>
      </c>
      <c r="G20" s="7">
        <f t="shared" si="0"/>
        <v>60</v>
      </c>
      <c r="H20" s="9"/>
      <c r="I20" s="9"/>
      <c r="J20" s="9"/>
      <c r="K20" s="7">
        <f t="shared" si="1"/>
        <v>4980</v>
      </c>
    </row>
    <row r="21" spans="1:14" ht="15" customHeight="1">
      <c r="A21" s="42"/>
      <c r="C21" s="10">
        <v>1</v>
      </c>
      <c r="D21" s="6" t="s">
        <v>812</v>
      </c>
      <c r="E21" s="11">
        <f>0.0075*('A. Resumen Costes Personal'!N17)</f>
        <v>27682.377363834763</v>
      </c>
      <c r="F21" s="8">
        <v>1</v>
      </c>
      <c r="G21" s="7">
        <f t="shared" si="0"/>
        <v>27682.377363834763</v>
      </c>
      <c r="H21" s="9"/>
      <c r="I21" s="9"/>
      <c r="J21" s="9"/>
      <c r="K21" s="7">
        <f t="shared" si="1"/>
        <v>27682.377363834763</v>
      </c>
      <c r="L21" s="3"/>
      <c r="M21" s="2"/>
      <c r="N21" s="4"/>
    </row>
    <row r="22" spans="1:14" ht="15" customHeight="1">
      <c r="A22" s="42"/>
      <c r="C22" s="492"/>
      <c r="D22" s="214"/>
      <c r="E22" s="214"/>
      <c r="F22" s="492"/>
      <c r="G22" s="493" t="s">
        <v>47</v>
      </c>
      <c r="H22" s="493"/>
      <c r="I22" s="494">
        <f>SUM(I3:I21)</f>
        <v>5676.25</v>
      </c>
      <c r="J22" s="494">
        <f>SUM(J3:J21)</f>
        <v>1226.0700000000002</v>
      </c>
      <c r="K22" s="495">
        <f>SUM(K4:K21)</f>
        <v>64328.697363834755</v>
      </c>
    </row>
  </sheetData>
  <mergeCells count="6">
    <mergeCell ref="M10:N10"/>
    <mergeCell ref="C1:K1"/>
    <mergeCell ref="M4:N4"/>
    <mergeCell ref="M5:N5"/>
    <mergeCell ref="M6:N6"/>
    <mergeCell ref="M9:N9"/>
  </mergeCells>
  <conditionalFormatting sqref="K4 K6:K8 K10:K11 K13:K21">
    <cfRule type="cellIs" dxfId="3" priority="1" operator="equal">
      <formula>0</formula>
    </cfRule>
  </conditionalFormatting>
  <pageMargins left="0.7" right="0.7" top="0.75" bottom="0.75" header="0.3" footer="0.3"/>
  <pageSetup paperSize="9" scale="91" orientation="landscape" r:id="rId1"/>
  <colBreaks count="1" manualBreakCount="1">
    <brk id="11" max="17"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CC52"/>
  <sheetViews>
    <sheetView showGridLines="0" tabSelected="1" zoomScale="80" zoomScaleNormal="80" workbookViewId="0">
      <pane ySplit="4" topLeftCell="A5" activePane="bottomLeft" state="frozen"/>
      <selection pane="bottomLeft" activeCell="M22" sqref="M22"/>
    </sheetView>
  </sheetViews>
  <sheetFormatPr baseColWidth="10" defaultColWidth="11.5546875" defaultRowHeight="13.8"/>
  <cols>
    <col min="1" max="1" width="7.6640625" style="380" customWidth="1"/>
    <col min="2" max="9" width="2.6640625" style="380" customWidth="1"/>
    <col min="10" max="10" width="4.33203125" style="380" customWidth="1"/>
    <col min="11" max="12" width="2.6640625" style="380" customWidth="1"/>
    <col min="13" max="13" width="18.88671875" style="380" customWidth="1"/>
    <col min="14" max="16" width="3.109375" style="380" customWidth="1"/>
    <col min="17" max="17" width="6.109375" style="380" customWidth="1"/>
    <col min="18" max="20" width="3.109375" style="380" customWidth="1"/>
    <col min="21" max="21" width="6.5546875" style="380" customWidth="1"/>
    <col min="22" max="22" width="4.5546875" style="380" customWidth="1"/>
    <col min="23" max="24" width="3.109375" style="380" customWidth="1"/>
    <col min="25" max="25" width="5.44140625" style="380" customWidth="1"/>
    <col min="26" max="27" width="3.109375" style="380" customWidth="1"/>
    <col min="28" max="28" width="6.44140625" style="380" customWidth="1"/>
    <col min="29" max="32" width="3.109375" style="380" customWidth="1"/>
    <col min="33" max="33" width="5.5546875" style="380" customWidth="1"/>
    <col min="34" max="36" width="3.109375" style="380" customWidth="1"/>
    <col min="37" max="37" width="5.109375" style="380" customWidth="1"/>
    <col min="38" max="40" width="3.109375" style="380" customWidth="1"/>
    <col min="41" max="41" width="4.6640625" style="380" customWidth="1"/>
    <col min="42" max="44" width="3.109375" style="380" customWidth="1"/>
    <col min="45" max="45" width="4.77734375" style="380" customWidth="1"/>
    <col min="46" max="48" width="3.109375" style="380" customWidth="1"/>
    <col min="49" max="49" width="5" style="380" customWidth="1"/>
    <col min="50" max="52" width="3.109375" style="380" customWidth="1"/>
    <col min="53" max="53" width="5.44140625" style="380" customWidth="1"/>
    <col min="54" max="55" width="3.109375" style="380" customWidth="1"/>
    <col min="56" max="56" width="5.5546875" style="380" customWidth="1"/>
    <col min="57" max="59" width="3.109375" style="380" customWidth="1"/>
    <col min="60" max="60" width="5.88671875" style="380" customWidth="1"/>
    <col min="61" max="63" width="3.109375" style="380" customWidth="1"/>
    <col min="64" max="64" width="5.44140625" style="380" customWidth="1"/>
    <col min="65" max="68" width="3.109375" style="380" customWidth="1"/>
    <col min="69" max="69" width="4.6640625" style="380" customWidth="1"/>
    <col min="70" max="70" width="4.109375" style="380" customWidth="1"/>
    <col min="71" max="71" width="3.109375" style="380" customWidth="1"/>
    <col min="72" max="72" width="4.5546875" style="380" customWidth="1"/>
    <col min="73" max="76" width="3.109375" style="380" customWidth="1"/>
    <col min="77" max="77" width="5.44140625" style="380" customWidth="1"/>
    <col min="78" max="78" width="76.33203125" style="380" customWidth="1"/>
    <col min="79" max="79" width="16.6640625" style="380" bestFit="1" customWidth="1"/>
    <col min="80" max="16384" width="11.5546875" style="380"/>
  </cols>
  <sheetData>
    <row r="1" spans="1:81" ht="14.4">
      <c r="A1" s="591" t="s">
        <v>911</v>
      </c>
      <c r="B1" s="591"/>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row>
    <row r="2" spans="1:81" ht="4.2" customHeight="1"/>
    <row r="3" spans="1:81">
      <c r="A3" s="498"/>
      <c r="B3" s="592" t="s">
        <v>95</v>
      </c>
      <c r="C3" s="592"/>
      <c r="D3" s="592"/>
      <c r="E3" s="592"/>
      <c r="F3" s="592"/>
      <c r="G3" s="592"/>
      <c r="H3" s="592"/>
      <c r="I3" s="592"/>
      <c r="J3" s="592"/>
      <c r="K3" s="592"/>
      <c r="L3" s="592"/>
      <c r="M3" s="592"/>
      <c r="N3" s="590" t="s">
        <v>914</v>
      </c>
      <c r="O3" s="590"/>
      <c r="P3" s="590"/>
      <c r="Q3" s="590"/>
      <c r="R3" s="590" t="s">
        <v>1</v>
      </c>
      <c r="S3" s="590"/>
      <c r="T3" s="590"/>
      <c r="U3" s="590"/>
      <c r="V3" s="590" t="s">
        <v>915</v>
      </c>
      <c r="W3" s="590"/>
      <c r="X3" s="590"/>
      <c r="Y3" s="590"/>
      <c r="Z3" s="590" t="s">
        <v>916</v>
      </c>
      <c r="AA3" s="590"/>
      <c r="AB3" s="590"/>
      <c r="AC3" s="590"/>
      <c r="AD3" s="590" t="s">
        <v>917</v>
      </c>
      <c r="AE3" s="590"/>
      <c r="AF3" s="590"/>
      <c r="AG3" s="590"/>
      <c r="AH3" s="590" t="s">
        <v>918</v>
      </c>
      <c r="AI3" s="590"/>
      <c r="AJ3" s="590"/>
      <c r="AK3" s="590"/>
      <c r="AL3" s="590" t="s">
        <v>919</v>
      </c>
      <c r="AM3" s="590"/>
      <c r="AN3" s="590"/>
      <c r="AO3" s="590"/>
      <c r="AP3" s="590" t="s">
        <v>920</v>
      </c>
      <c r="AQ3" s="590"/>
      <c r="AR3" s="590"/>
      <c r="AS3" s="590"/>
      <c r="AT3" s="590" t="s">
        <v>921</v>
      </c>
      <c r="AU3" s="590"/>
      <c r="AV3" s="590"/>
      <c r="AW3" s="590"/>
      <c r="AX3" s="590" t="s">
        <v>922</v>
      </c>
      <c r="AY3" s="590"/>
      <c r="AZ3" s="590"/>
      <c r="BA3" s="590"/>
      <c r="BB3" s="590" t="s">
        <v>923</v>
      </c>
      <c r="BC3" s="590"/>
      <c r="BD3" s="590"/>
      <c r="BE3" s="590"/>
      <c r="BF3" s="590" t="s">
        <v>924</v>
      </c>
      <c r="BG3" s="590"/>
      <c r="BH3" s="590"/>
      <c r="BI3" s="590"/>
      <c r="BJ3" s="590" t="s">
        <v>925</v>
      </c>
      <c r="BK3" s="590"/>
      <c r="BL3" s="590"/>
      <c r="BM3" s="590"/>
      <c r="BN3" s="590" t="s">
        <v>926</v>
      </c>
      <c r="BO3" s="590"/>
      <c r="BP3" s="590"/>
      <c r="BQ3" s="590"/>
      <c r="BR3" s="590" t="s">
        <v>927</v>
      </c>
      <c r="BS3" s="590"/>
      <c r="BT3" s="590"/>
      <c r="BU3" s="590"/>
      <c r="BV3" s="590" t="s">
        <v>928</v>
      </c>
      <c r="BW3" s="590"/>
      <c r="BX3" s="590"/>
      <c r="BY3" s="590"/>
    </row>
    <row r="4" spans="1:81" ht="4.5" customHeight="1">
      <c r="BZ4" s="450"/>
    </row>
    <row r="5" spans="1:81" s="388" customFormat="1">
      <c r="A5" s="387"/>
      <c r="B5" s="589" t="s">
        <v>929</v>
      </c>
      <c r="C5" s="589"/>
      <c r="D5" s="589"/>
      <c r="E5" s="589"/>
      <c r="F5" s="589"/>
      <c r="G5" s="589"/>
      <c r="H5" s="589"/>
      <c r="I5" s="589"/>
      <c r="J5" s="589"/>
      <c r="K5" s="589"/>
      <c r="L5" s="589"/>
      <c r="M5" s="589"/>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row>
    <row r="6" spans="1:81" ht="4.95" customHeight="1"/>
    <row r="7" spans="1:81" s="385" customFormat="1" ht="25.2" customHeight="1">
      <c r="A7" s="587" t="s">
        <v>930</v>
      </c>
      <c r="B7" s="584" t="s">
        <v>912</v>
      </c>
      <c r="C7" s="584"/>
      <c r="D7" s="584"/>
      <c r="E7" s="584"/>
      <c r="F7" s="584"/>
      <c r="G7" s="584"/>
      <c r="H7" s="584"/>
      <c r="I7" s="584"/>
      <c r="J7" s="584"/>
      <c r="N7" s="573">
        <f>EstructuraCostesAnualidad_1!AN5</f>
        <v>1708283.75</v>
      </c>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3"/>
      <c r="AY7" s="573"/>
      <c r="AZ7" s="573"/>
      <c r="BA7" s="573"/>
      <c r="BB7" s="573"/>
      <c r="BC7" s="573"/>
      <c r="BD7" s="573"/>
      <c r="BE7" s="573"/>
      <c r="BF7" s="573"/>
      <c r="BG7" s="573"/>
      <c r="BH7" s="573"/>
      <c r="BI7" s="573"/>
      <c r="BJ7" s="573"/>
      <c r="BK7" s="573"/>
      <c r="BL7" s="573"/>
      <c r="BM7" s="573"/>
      <c r="BN7" s="573"/>
      <c r="BO7" s="573"/>
      <c r="BP7" s="573"/>
      <c r="BQ7" s="573"/>
      <c r="BR7" s="573"/>
      <c r="BS7" s="573"/>
      <c r="BT7" s="573"/>
      <c r="BU7" s="573"/>
      <c r="BV7" s="573"/>
      <c r="BW7" s="573"/>
      <c r="BX7" s="573"/>
      <c r="BY7" s="573"/>
      <c r="CA7" s="400"/>
      <c r="CB7" s="386"/>
      <c r="CC7" s="399"/>
    </row>
    <row r="8" spans="1:81" s="385" customFormat="1" ht="4.2" customHeight="1">
      <c r="A8" s="587"/>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8"/>
      <c r="AQ8" s="398"/>
      <c r="AR8" s="398"/>
      <c r="AS8" s="398"/>
      <c r="AT8" s="398"/>
      <c r="AU8" s="398"/>
      <c r="AV8" s="398"/>
      <c r="AW8" s="398"/>
      <c r="AX8" s="398"/>
      <c r="AY8" s="398"/>
      <c r="AZ8" s="398"/>
      <c r="BA8" s="398"/>
      <c r="BB8" s="398"/>
      <c r="BC8" s="398"/>
      <c r="BD8" s="398"/>
      <c r="BE8" s="398"/>
      <c r="BF8" s="398"/>
      <c r="BG8" s="398"/>
      <c r="BH8" s="398"/>
      <c r="BI8" s="398"/>
      <c r="BJ8" s="398"/>
      <c r="BK8" s="398"/>
      <c r="BL8" s="398"/>
      <c r="BM8" s="398"/>
      <c r="BN8" s="398"/>
      <c r="BO8" s="398"/>
      <c r="BP8" s="398"/>
      <c r="BQ8" s="398"/>
      <c r="BR8" s="398"/>
      <c r="BS8" s="398"/>
      <c r="BT8" s="398"/>
      <c r="BU8" s="398"/>
      <c r="BV8" s="398"/>
      <c r="BW8" s="398"/>
      <c r="BX8" s="398"/>
      <c r="BY8" s="398"/>
      <c r="CA8" s="382"/>
      <c r="CB8" s="382"/>
      <c r="CC8" s="392"/>
    </row>
    <row r="9" spans="1:81" s="385" customFormat="1" ht="25.2" customHeight="1">
      <c r="A9" s="587"/>
      <c r="B9" s="584" t="s">
        <v>913</v>
      </c>
      <c r="C9" s="584"/>
      <c r="D9" s="584"/>
      <c r="E9" s="584"/>
      <c r="F9" s="584"/>
      <c r="G9" s="584"/>
      <c r="H9" s="584"/>
      <c r="I9" s="584"/>
      <c r="J9" s="584"/>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3"/>
      <c r="AY9" s="573"/>
      <c r="AZ9" s="573"/>
      <c r="BA9" s="573"/>
      <c r="BB9" s="573"/>
      <c r="BC9" s="573"/>
      <c r="BD9" s="573"/>
      <c r="BE9" s="573"/>
      <c r="BF9" s="573"/>
      <c r="BG9" s="573"/>
      <c r="BH9" s="573"/>
      <c r="BI9" s="573"/>
      <c r="BJ9" s="573"/>
      <c r="BK9" s="573"/>
      <c r="BL9" s="573"/>
      <c r="BM9" s="573"/>
      <c r="BN9" s="573"/>
      <c r="BO9" s="573"/>
      <c r="BP9" s="573"/>
      <c r="BQ9" s="573"/>
      <c r="BR9" s="573"/>
      <c r="BS9" s="573"/>
      <c r="BT9" s="573"/>
      <c r="BU9" s="573"/>
      <c r="BV9" s="573"/>
      <c r="BW9" s="573"/>
      <c r="BX9" s="573"/>
      <c r="BY9" s="573"/>
      <c r="CA9" s="400"/>
      <c r="CB9" s="386"/>
      <c r="CC9" s="399"/>
    </row>
    <row r="10" spans="1:81" s="381" customFormat="1" ht="4.95" customHeight="1">
      <c r="A10" s="587"/>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393"/>
      <c r="BL10" s="393"/>
      <c r="BM10" s="393"/>
      <c r="BN10" s="393"/>
      <c r="BO10" s="393"/>
      <c r="BP10" s="393"/>
      <c r="BQ10" s="393"/>
      <c r="BR10" s="393"/>
      <c r="BS10" s="393"/>
      <c r="BT10" s="393"/>
      <c r="BU10" s="393"/>
      <c r="BV10" s="393"/>
      <c r="BW10" s="393"/>
      <c r="BX10" s="393"/>
      <c r="BY10" s="393"/>
      <c r="CA10" s="382"/>
      <c r="CB10" s="382"/>
      <c r="CC10" s="392"/>
    </row>
    <row r="11" spans="1:81" s="385" customFormat="1" ht="25.2" customHeight="1">
      <c r="A11" s="587"/>
      <c r="B11" s="584" t="s">
        <v>1015</v>
      </c>
      <c r="C11" s="584"/>
      <c r="D11" s="584"/>
      <c r="E11" s="584"/>
      <c r="F11" s="584"/>
      <c r="G11" s="584"/>
      <c r="H11" s="584"/>
      <c r="I11" s="584"/>
      <c r="J11" s="584"/>
      <c r="N11" s="573">
        <f>EstructuraCostesAnualidad_1!AN7</f>
        <v>336343.02470703126</v>
      </c>
      <c r="O11" s="573"/>
      <c r="P11" s="573"/>
      <c r="Q11" s="573"/>
      <c r="R11" s="573"/>
      <c r="S11" s="573"/>
      <c r="T11" s="573"/>
      <c r="U11" s="573"/>
      <c r="V11" s="573"/>
      <c r="W11" s="573"/>
      <c r="X11" s="573"/>
      <c r="Y11" s="573"/>
      <c r="Z11" s="573"/>
      <c r="AA11" s="573"/>
      <c r="AB11" s="573"/>
      <c r="AC11" s="573"/>
      <c r="AD11" s="573"/>
      <c r="AE11" s="573"/>
      <c r="AF11" s="573"/>
      <c r="AG11" s="573"/>
      <c r="AH11" s="573">
        <f>EstructuraCostesAnualidad_1!AN9</f>
        <v>336343.02470703126</v>
      </c>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c r="BR11" s="573"/>
      <c r="BS11" s="573"/>
      <c r="BT11" s="573"/>
      <c r="BU11" s="573"/>
      <c r="BV11" s="573"/>
      <c r="BW11" s="573"/>
      <c r="BX11" s="573"/>
      <c r="BY11" s="573"/>
      <c r="CA11" s="400"/>
      <c r="CB11" s="386"/>
      <c r="CC11" s="399"/>
    </row>
    <row r="12" spans="1:81" s="385" customFormat="1" ht="4.95" customHeight="1">
      <c r="A12" s="587"/>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c r="AZ12" s="398"/>
      <c r="BA12" s="398"/>
      <c r="BB12" s="398"/>
      <c r="BC12" s="398"/>
      <c r="BD12" s="398"/>
      <c r="BE12" s="398"/>
      <c r="BF12" s="398"/>
      <c r="BG12" s="398"/>
      <c r="BH12" s="398"/>
      <c r="BI12" s="398"/>
      <c r="BJ12" s="398"/>
      <c r="BK12" s="398"/>
      <c r="BL12" s="398"/>
      <c r="BM12" s="398"/>
      <c r="BN12" s="398"/>
      <c r="BO12" s="398"/>
      <c r="BP12" s="398"/>
      <c r="BQ12" s="398"/>
      <c r="BR12" s="398"/>
      <c r="BS12" s="398"/>
      <c r="BT12" s="398"/>
      <c r="BU12" s="398"/>
      <c r="BV12" s="398"/>
      <c r="BW12" s="398"/>
      <c r="BX12" s="398"/>
      <c r="BY12" s="398"/>
      <c r="CA12" s="400"/>
      <c r="CB12" s="386"/>
      <c r="CC12" s="399"/>
    </row>
    <row r="13" spans="1:81" s="385" customFormat="1" ht="25.2" customHeight="1">
      <c r="A13" s="587"/>
      <c r="B13" s="584" t="s">
        <v>1016</v>
      </c>
      <c r="C13" s="584"/>
      <c r="D13" s="584"/>
      <c r="E13" s="584"/>
      <c r="F13" s="584"/>
      <c r="G13" s="584"/>
      <c r="H13" s="584"/>
      <c r="I13" s="584"/>
      <c r="J13" s="584"/>
      <c r="N13" s="573">
        <f>EstructuraCostesAnualidad_1!AN11</f>
        <v>0</v>
      </c>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c r="BR13" s="573"/>
      <c r="BS13" s="573"/>
      <c r="BT13" s="573"/>
      <c r="BU13" s="573"/>
      <c r="BV13" s="573"/>
      <c r="BW13" s="573"/>
      <c r="BX13" s="573"/>
      <c r="BY13" s="573"/>
      <c r="CA13" s="400"/>
      <c r="CB13" s="386"/>
      <c r="CC13" s="399"/>
    </row>
    <row r="14" spans="1:81" s="385" customFormat="1" ht="3" customHeight="1">
      <c r="A14" s="587"/>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8"/>
      <c r="BY14" s="398"/>
      <c r="CA14" s="400"/>
      <c r="CB14" s="386"/>
      <c r="CC14" s="399"/>
    </row>
    <row r="15" spans="1:81" s="385" customFormat="1" ht="12">
      <c r="A15" s="587"/>
      <c r="B15" s="588" t="s">
        <v>937</v>
      </c>
      <c r="C15" s="588"/>
      <c r="D15" s="588"/>
      <c r="E15" s="588"/>
      <c r="F15" s="588"/>
      <c r="G15" s="588"/>
      <c r="H15" s="588"/>
      <c r="I15" s="588"/>
      <c r="J15" s="588"/>
      <c r="K15" s="588"/>
      <c r="L15" s="588"/>
      <c r="M15" s="588"/>
      <c r="N15" s="586">
        <f>SUM(N7:Q14)</f>
        <v>2044626.7747070312</v>
      </c>
      <c r="O15" s="586"/>
      <c r="P15" s="586"/>
      <c r="Q15" s="586"/>
      <c r="R15" s="586">
        <f>SUM(R7:U14)</f>
        <v>0</v>
      </c>
      <c r="S15" s="586"/>
      <c r="T15" s="586"/>
      <c r="U15" s="586"/>
      <c r="V15" s="586">
        <f>SUM(V7:Y14)</f>
        <v>0</v>
      </c>
      <c r="W15" s="586"/>
      <c r="X15" s="586"/>
      <c r="Y15" s="586"/>
      <c r="Z15" s="586">
        <f>SUM(Z7:AC14)</f>
        <v>0</v>
      </c>
      <c r="AA15" s="586"/>
      <c r="AB15" s="586"/>
      <c r="AC15" s="586"/>
      <c r="AD15" s="586">
        <f>SUM(AD7:AG14)</f>
        <v>0</v>
      </c>
      <c r="AE15" s="586"/>
      <c r="AF15" s="586"/>
      <c r="AG15" s="586"/>
      <c r="AH15" s="586">
        <f>SUM(AH7:AK14)</f>
        <v>336343.02470703126</v>
      </c>
      <c r="AI15" s="586"/>
      <c r="AJ15" s="586"/>
      <c r="AK15" s="586"/>
      <c r="AL15" s="586">
        <f>SUM(AL7:AO14)</f>
        <v>0</v>
      </c>
      <c r="AM15" s="586"/>
      <c r="AN15" s="586"/>
      <c r="AO15" s="586"/>
      <c r="AP15" s="586">
        <f>SUM(AP7:AS14)</f>
        <v>0</v>
      </c>
      <c r="AQ15" s="586"/>
      <c r="AR15" s="586"/>
      <c r="AS15" s="586"/>
      <c r="AT15" s="586">
        <f>SUM(AT7:AW14)</f>
        <v>0</v>
      </c>
      <c r="AU15" s="586"/>
      <c r="AV15" s="586"/>
      <c r="AW15" s="586"/>
      <c r="AX15" s="586">
        <f>SUM(AX7:BA14)</f>
        <v>0</v>
      </c>
      <c r="AY15" s="586"/>
      <c r="AZ15" s="586"/>
      <c r="BA15" s="586"/>
      <c r="BB15" s="586">
        <f>SUM(BB7:BE14)</f>
        <v>0</v>
      </c>
      <c r="BC15" s="586"/>
      <c r="BD15" s="586"/>
      <c r="BE15" s="586"/>
      <c r="BF15" s="586">
        <f>SUM(BF7:BI14)</f>
        <v>0</v>
      </c>
      <c r="BG15" s="586"/>
      <c r="BH15" s="586"/>
      <c r="BI15" s="586"/>
      <c r="BJ15" s="586">
        <f>SUM(BJ7:BM14)</f>
        <v>0</v>
      </c>
      <c r="BK15" s="586"/>
      <c r="BL15" s="586"/>
      <c r="BM15" s="586"/>
      <c r="BN15" s="586">
        <f>SUM(BN7:BQ14)</f>
        <v>0</v>
      </c>
      <c r="BO15" s="586"/>
      <c r="BP15" s="586"/>
      <c r="BQ15" s="586"/>
      <c r="BR15" s="586">
        <f>SUM(BR7:BU14)</f>
        <v>0</v>
      </c>
      <c r="BS15" s="586"/>
      <c r="BT15" s="586"/>
      <c r="BU15" s="586"/>
      <c r="BV15" s="586">
        <f>SUM(BV7:BY14)</f>
        <v>0</v>
      </c>
      <c r="BW15" s="586"/>
      <c r="BX15" s="586"/>
      <c r="BY15" s="586"/>
    </row>
    <row r="16" spans="1:81" ht="4.2" customHeight="1">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c r="BE16" s="394"/>
      <c r="BF16" s="394"/>
      <c r="BG16" s="394"/>
      <c r="BH16" s="394"/>
      <c r="BI16" s="394"/>
      <c r="BJ16" s="394"/>
      <c r="BK16" s="394"/>
      <c r="BL16" s="394"/>
      <c r="BM16" s="394"/>
      <c r="BN16" s="394"/>
      <c r="BO16" s="394"/>
      <c r="BP16" s="394"/>
      <c r="BQ16" s="394"/>
      <c r="BR16" s="394"/>
      <c r="BS16" s="394"/>
      <c r="BT16" s="394"/>
      <c r="BU16" s="394"/>
      <c r="BV16" s="394"/>
      <c r="BW16" s="394"/>
      <c r="BX16" s="394"/>
      <c r="BY16" s="394"/>
    </row>
    <row r="17" spans="1:77" s="385" customFormat="1" ht="25.2" customHeight="1">
      <c r="A17" s="587" t="s">
        <v>931</v>
      </c>
      <c r="B17" s="584" t="s">
        <v>48</v>
      </c>
      <c r="C17" s="584"/>
      <c r="D17" s="584"/>
      <c r="E17" s="584"/>
      <c r="F17" s="584"/>
      <c r="G17" s="584"/>
      <c r="H17" s="584"/>
      <c r="I17" s="584"/>
      <c r="J17" s="584"/>
      <c r="K17" s="584"/>
      <c r="N17" s="585"/>
      <c r="O17" s="585"/>
      <c r="P17" s="585"/>
      <c r="Q17" s="585"/>
      <c r="R17" s="573">
        <f>CanonAnual!L4</f>
        <v>3690983.6485113017</v>
      </c>
      <c r="S17" s="573"/>
      <c r="T17" s="573"/>
      <c r="U17" s="573"/>
      <c r="V17" s="573">
        <f t="shared" ref="V17:V22" si="0">R17</f>
        <v>3690983.6485113017</v>
      </c>
      <c r="W17" s="573"/>
      <c r="X17" s="573"/>
      <c r="Y17" s="573"/>
      <c r="Z17" s="573">
        <f t="shared" ref="Z17:Z22" si="1">V17</f>
        <v>3690983.6485113017</v>
      </c>
      <c r="AA17" s="573"/>
      <c r="AB17" s="573"/>
      <c r="AC17" s="573"/>
      <c r="AD17" s="573">
        <f t="shared" ref="AD17:AD22" si="2">Z17</f>
        <v>3690983.6485113017</v>
      </c>
      <c r="AE17" s="573"/>
      <c r="AF17" s="573"/>
      <c r="AG17" s="573"/>
      <c r="AH17" s="573">
        <f t="shared" ref="AH17:AH22" si="3">AD17</f>
        <v>3690983.6485113017</v>
      </c>
      <c r="AI17" s="573"/>
      <c r="AJ17" s="573"/>
      <c r="AK17" s="573"/>
      <c r="AL17" s="573">
        <f t="shared" ref="AL17:AL22" si="4">AH17</f>
        <v>3690983.6485113017</v>
      </c>
      <c r="AM17" s="573"/>
      <c r="AN17" s="573"/>
      <c r="AO17" s="573"/>
      <c r="AP17" s="573">
        <f t="shared" ref="AP17:AP22" si="5">AL17</f>
        <v>3690983.6485113017</v>
      </c>
      <c r="AQ17" s="573"/>
      <c r="AR17" s="573"/>
      <c r="AS17" s="573"/>
      <c r="AT17" s="573">
        <f t="shared" ref="AT17:AT22" si="6">AP17</f>
        <v>3690983.6485113017</v>
      </c>
      <c r="AU17" s="573"/>
      <c r="AV17" s="573"/>
      <c r="AW17" s="573"/>
      <c r="AX17" s="573">
        <f t="shared" ref="AX17:AX22" si="7">AT17</f>
        <v>3690983.6485113017</v>
      </c>
      <c r="AY17" s="573"/>
      <c r="AZ17" s="573"/>
      <c r="BA17" s="573"/>
      <c r="BB17" s="573">
        <f t="shared" ref="BB17:BB22" si="8">AX17</f>
        <v>3690983.6485113017</v>
      </c>
      <c r="BC17" s="573"/>
      <c r="BD17" s="573"/>
      <c r="BE17" s="573"/>
      <c r="BF17" s="573">
        <f t="shared" ref="BF17:BF22" si="9">BB17</f>
        <v>3690983.6485113017</v>
      </c>
      <c r="BG17" s="573"/>
      <c r="BH17" s="573"/>
      <c r="BI17" s="573"/>
      <c r="BJ17" s="573">
        <f t="shared" ref="BJ17:BJ22" si="10">BF17</f>
        <v>3690983.6485113017</v>
      </c>
      <c r="BK17" s="573"/>
      <c r="BL17" s="573"/>
      <c r="BM17" s="573"/>
      <c r="BN17" s="573">
        <f t="shared" ref="BN17:BN22" si="11">BJ17</f>
        <v>3690983.6485113017</v>
      </c>
      <c r="BO17" s="573"/>
      <c r="BP17" s="573"/>
      <c r="BQ17" s="573"/>
      <c r="BR17" s="573">
        <f t="shared" ref="BR17:BR22" si="12">BN17</f>
        <v>3690983.6485113017</v>
      </c>
      <c r="BS17" s="573"/>
      <c r="BT17" s="573"/>
      <c r="BU17" s="573"/>
      <c r="BV17" s="573">
        <f t="shared" ref="BV17:BV22" si="13">BR17</f>
        <v>3690983.6485113017</v>
      </c>
      <c r="BW17" s="573"/>
      <c r="BX17" s="573"/>
      <c r="BY17" s="573"/>
    </row>
    <row r="18" spans="1:77" s="385" customFormat="1" ht="25.2" customHeight="1">
      <c r="A18" s="587"/>
      <c r="B18" s="584" t="s">
        <v>1002</v>
      </c>
      <c r="C18" s="584"/>
      <c r="D18" s="584"/>
      <c r="E18" s="584"/>
      <c r="F18" s="584"/>
      <c r="G18" s="584"/>
      <c r="H18" s="584"/>
      <c r="I18" s="584"/>
      <c r="J18" s="584"/>
      <c r="K18" s="584"/>
      <c r="N18" s="585"/>
      <c r="O18" s="585"/>
      <c r="P18" s="585"/>
      <c r="Q18" s="585"/>
      <c r="R18" s="573">
        <f>'B. Resumen Costes Veh_Maq'!H16+'B. Resumen Costes Veh_Maq'!L16+'B. Resumen Costes Veh_Maq'!P16</f>
        <v>196926.4887205713</v>
      </c>
      <c r="S18" s="573"/>
      <c r="T18" s="573"/>
      <c r="U18" s="573"/>
      <c r="V18" s="573">
        <f t="shared" si="0"/>
        <v>196926.4887205713</v>
      </c>
      <c r="W18" s="573"/>
      <c r="X18" s="573"/>
      <c r="Y18" s="573"/>
      <c r="Z18" s="573">
        <f t="shared" si="1"/>
        <v>196926.4887205713</v>
      </c>
      <c r="AA18" s="573"/>
      <c r="AB18" s="573"/>
      <c r="AC18" s="573"/>
      <c r="AD18" s="573">
        <f t="shared" si="2"/>
        <v>196926.4887205713</v>
      </c>
      <c r="AE18" s="573"/>
      <c r="AF18" s="573"/>
      <c r="AG18" s="573"/>
      <c r="AH18" s="573">
        <f t="shared" si="3"/>
        <v>196926.4887205713</v>
      </c>
      <c r="AI18" s="573"/>
      <c r="AJ18" s="573"/>
      <c r="AK18" s="573"/>
      <c r="AL18" s="573">
        <f t="shared" si="4"/>
        <v>196926.4887205713</v>
      </c>
      <c r="AM18" s="573"/>
      <c r="AN18" s="573"/>
      <c r="AO18" s="573"/>
      <c r="AP18" s="573">
        <f t="shared" si="5"/>
        <v>196926.4887205713</v>
      </c>
      <c r="AQ18" s="573"/>
      <c r="AR18" s="573"/>
      <c r="AS18" s="573"/>
      <c r="AT18" s="573">
        <f t="shared" si="6"/>
        <v>196926.4887205713</v>
      </c>
      <c r="AU18" s="573"/>
      <c r="AV18" s="573"/>
      <c r="AW18" s="573"/>
      <c r="AX18" s="573">
        <f t="shared" si="7"/>
        <v>196926.4887205713</v>
      </c>
      <c r="AY18" s="573"/>
      <c r="AZ18" s="573"/>
      <c r="BA18" s="573"/>
      <c r="BB18" s="573">
        <f t="shared" si="8"/>
        <v>196926.4887205713</v>
      </c>
      <c r="BC18" s="573"/>
      <c r="BD18" s="573"/>
      <c r="BE18" s="573"/>
      <c r="BF18" s="573">
        <f t="shared" si="9"/>
        <v>196926.4887205713</v>
      </c>
      <c r="BG18" s="573"/>
      <c r="BH18" s="573"/>
      <c r="BI18" s="573"/>
      <c r="BJ18" s="573">
        <f t="shared" si="10"/>
        <v>196926.4887205713</v>
      </c>
      <c r="BK18" s="573"/>
      <c r="BL18" s="573"/>
      <c r="BM18" s="573"/>
      <c r="BN18" s="573">
        <f t="shared" si="11"/>
        <v>196926.4887205713</v>
      </c>
      <c r="BO18" s="573"/>
      <c r="BP18" s="573"/>
      <c r="BQ18" s="573"/>
      <c r="BR18" s="573">
        <f t="shared" si="12"/>
        <v>196926.4887205713</v>
      </c>
      <c r="BS18" s="573"/>
      <c r="BT18" s="573"/>
      <c r="BU18" s="573"/>
      <c r="BV18" s="573">
        <f t="shared" si="13"/>
        <v>196926.4887205713</v>
      </c>
      <c r="BW18" s="573"/>
      <c r="BX18" s="573"/>
      <c r="BY18" s="573"/>
    </row>
    <row r="19" spans="1:77" s="385" customFormat="1" ht="25.2" customHeight="1">
      <c r="A19" s="587"/>
      <c r="B19" s="584" t="s">
        <v>1011</v>
      </c>
      <c r="C19" s="584"/>
      <c r="D19" s="584"/>
      <c r="E19" s="584"/>
      <c r="F19" s="584"/>
      <c r="G19" s="584"/>
      <c r="H19" s="584"/>
      <c r="I19" s="584"/>
      <c r="J19" s="584"/>
      <c r="K19" s="584"/>
      <c r="N19" s="585"/>
      <c r="O19" s="585"/>
      <c r="P19" s="585"/>
      <c r="Q19" s="585"/>
      <c r="R19" s="573">
        <f>CanonAnual!L6</f>
        <v>58890.628125000003</v>
      </c>
      <c r="S19" s="573"/>
      <c r="T19" s="573"/>
      <c r="U19" s="573"/>
      <c r="V19" s="573">
        <f t="shared" si="0"/>
        <v>58890.628125000003</v>
      </c>
      <c r="W19" s="573"/>
      <c r="X19" s="573"/>
      <c r="Y19" s="573"/>
      <c r="Z19" s="573">
        <f t="shared" si="1"/>
        <v>58890.628125000003</v>
      </c>
      <c r="AA19" s="573"/>
      <c r="AB19" s="573"/>
      <c r="AC19" s="573"/>
      <c r="AD19" s="573">
        <f t="shared" si="2"/>
        <v>58890.628125000003</v>
      </c>
      <c r="AE19" s="573"/>
      <c r="AF19" s="573"/>
      <c r="AG19" s="573"/>
      <c r="AH19" s="573">
        <f t="shared" si="3"/>
        <v>58890.628125000003</v>
      </c>
      <c r="AI19" s="573"/>
      <c r="AJ19" s="573"/>
      <c r="AK19" s="573"/>
      <c r="AL19" s="573">
        <f t="shared" si="4"/>
        <v>58890.628125000003</v>
      </c>
      <c r="AM19" s="573"/>
      <c r="AN19" s="573"/>
      <c r="AO19" s="573"/>
      <c r="AP19" s="573">
        <f t="shared" si="5"/>
        <v>58890.628125000003</v>
      </c>
      <c r="AQ19" s="573"/>
      <c r="AR19" s="573"/>
      <c r="AS19" s="573"/>
      <c r="AT19" s="573">
        <f t="shared" si="6"/>
        <v>58890.628125000003</v>
      </c>
      <c r="AU19" s="573"/>
      <c r="AV19" s="573"/>
      <c r="AW19" s="573"/>
      <c r="AX19" s="573">
        <f t="shared" si="7"/>
        <v>58890.628125000003</v>
      </c>
      <c r="AY19" s="573"/>
      <c r="AZ19" s="573"/>
      <c r="BA19" s="573"/>
      <c r="BB19" s="573">
        <f t="shared" si="8"/>
        <v>58890.628125000003</v>
      </c>
      <c r="BC19" s="573"/>
      <c r="BD19" s="573"/>
      <c r="BE19" s="573"/>
      <c r="BF19" s="573">
        <f t="shared" si="9"/>
        <v>58890.628125000003</v>
      </c>
      <c r="BG19" s="573"/>
      <c r="BH19" s="573"/>
      <c r="BI19" s="573"/>
      <c r="BJ19" s="573">
        <f t="shared" si="10"/>
        <v>58890.628125000003</v>
      </c>
      <c r="BK19" s="573"/>
      <c r="BL19" s="573"/>
      <c r="BM19" s="573"/>
      <c r="BN19" s="573">
        <f t="shared" si="11"/>
        <v>58890.628125000003</v>
      </c>
      <c r="BO19" s="573"/>
      <c r="BP19" s="573"/>
      <c r="BQ19" s="573"/>
      <c r="BR19" s="573">
        <f t="shared" si="12"/>
        <v>58890.628125000003</v>
      </c>
      <c r="BS19" s="573"/>
      <c r="BT19" s="573"/>
      <c r="BU19" s="573"/>
      <c r="BV19" s="573">
        <f t="shared" si="13"/>
        <v>58890.628125000003</v>
      </c>
      <c r="BW19" s="573"/>
      <c r="BX19" s="573"/>
      <c r="BY19" s="573"/>
    </row>
    <row r="20" spans="1:77" s="385" customFormat="1" ht="25.2" customHeight="1">
      <c r="A20" s="587"/>
      <c r="B20" s="584" t="s">
        <v>51</v>
      </c>
      <c r="C20" s="584"/>
      <c r="D20" s="584"/>
      <c r="E20" s="584"/>
      <c r="F20" s="584"/>
      <c r="G20" s="584"/>
      <c r="H20" s="584"/>
      <c r="I20" s="584"/>
      <c r="J20" s="584"/>
      <c r="K20" s="584"/>
      <c r="N20" s="585"/>
      <c r="O20" s="585"/>
      <c r="P20" s="585"/>
      <c r="Q20" s="585"/>
      <c r="R20" s="573">
        <f>CanonAnual!L7</f>
        <v>152880</v>
      </c>
      <c r="S20" s="573"/>
      <c r="T20" s="573"/>
      <c r="U20" s="573"/>
      <c r="V20" s="573">
        <f t="shared" si="0"/>
        <v>152880</v>
      </c>
      <c r="W20" s="573"/>
      <c r="X20" s="573"/>
      <c r="Y20" s="573"/>
      <c r="Z20" s="573">
        <f t="shared" si="1"/>
        <v>152880</v>
      </c>
      <c r="AA20" s="573"/>
      <c r="AB20" s="573"/>
      <c r="AC20" s="573"/>
      <c r="AD20" s="573">
        <f t="shared" si="2"/>
        <v>152880</v>
      </c>
      <c r="AE20" s="573"/>
      <c r="AF20" s="573"/>
      <c r="AG20" s="573"/>
      <c r="AH20" s="573">
        <f t="shared" si="3"/>
        <v>152880</v>
      </c>
      <c r="AI20" s="573"/>
      <c r="AJ20" s="573"/>
      <c r="AK20" s="573"/>
      <c r="AL20" s="573">
        <f t="shared" si="4"/>
        <v>152880</v>
      </c>
      <c r="AM20" s="573"/>
      <c r="AN20" s="573"/>
      <c r="AO20" s="573"/>
      <c r="AP20" s="573">
        <f t="shared" si="5"/>
        <v>152880</v>
      </c>
      <c r="AQ20" s="573"/>
      <c r="AR20" s="573"/>
      <c r="AS20" s="573"/>
      <c r="AT20" s="573">
        <f t="shared" si="6"/>
        <v>152880</v>
      </c>
      <c r="AU20" s="573"/>
      <c r="AV20" s="573"/>
      <c r="AW20" s="573"/>
      <c r="AX20" s="573">
        <f t="shared" si="7"/>
        <v>152880</v>
      </c>
      <c r="AY20" s="573"/>
      <c r="AZ20" s="573"/>
      <c r="BA20" s="573"/>
      <c r="BB20" s="573">
        <f t="shared" si="8"/>
        <v>152880</v>
      </c>
      <c r="BC20" s="573"/>
      <c r="BD20" s="573"/>
      <c r="BE20" s="573"/>
      <c r="BF20" s="573">
        <f t="shared" si="9"/>
        <v>152880</v>
      </c>
      <c r="BG20" s="573"/>
      <c r="BH20" s="573"/>
      <c r="BI20" s="573"/>
      <c r="BJ20" s="573">
        <f t="shared" si="10"/>
        <v>152880</v>
      </c>
      <c r="BK20" s="573"/>
      <c r="BL20" s="573"/>
      <c r="BM20" s="573"/>
      <c r="BN20" s="573">
        <f t="shared" si="11"/>
        <v>152880</v>
      </c>
      <c r="BO20" s="573"/>
      <c r="BP20" s="573"/>
      <c r="BQ20" s="573"/>
      <c r="BR20" s="573">
        <f t="shared" si="12"/>
        <v>152880</v>
      </c>
      <c r="BS20" s="573"/>
      <c r="BT20" s="573"/>
      <c r="BU20" s="573"/>
      <c r="BV20" s="573">
        <f t="shared" si="13"/>
        <v>152880</v>
      </c>
      <c r="BW20" s="573"/>
      <c r="BX20" s="573"/>
      <c r="BY20" s="573"/>
    </row>
    <row r="21" spans="1:77" s="385" customFormat="1" ht="25.2" customHeight="1">
      <c r="A21" s="587"/>
      <c r="B21" s="584" t="s">
        <v>52</v>
      </c>
      <c r="C21" s="584"/>
      <c r="D21" s="584"/>
      <c r="E21" s="584"/>
      <c r="F21" s="584"/>
      <c r="G21" s="584"/>
      <c r="H21" s="584"/>
      <c r="I21" s="584"/>
      <c r="J21" s="584"/>
      <c r="K21" s="584"/>
      <c r="N21" s="585"/>
      <c r="O21" s="585"/>
      <c r="P21" s="585"/>
      <c r="Q21" s="585"/>
      <c r="R21" s="573">
        <f>CanonAnual!L8</f>
        <v>130744.72534999999</v>
      </c>
      <c r="S21" s="573"/>
      <c r="T21" s="573"/>
      <c r="U21" s="573"/>
      <c r="V21" s="573">
        <f t="shared" si="0"/>
        <v>130744.72534999999</v>
      </c>
      <c r="W21" s="573"/>
      <c r="X21" s="573"/>
      <c r="Y21" s="573"/>
      <c r="Z21" s="573">
        <f t="shared" si="1"/>
        <v>130744.72534999999</v>
      </c>
      <c r="AA21" s="573"/>
      <c r="AB21" s="573"/>
      <c r="AC21" s="573"/>
      <c r="AD21" s="573">
        <f t="shared" si="2"/>
        <v>130744.72534999999</v>
      </c>
      <c r="AE21" s="573"/>
      <c r="AF21" s="573"/>
      <c r="AG21" s="573"/>
      <c r="AH21" s="573">
        <f t="shared" si="3"/>
        <v>130744.72534999999</v>
      </c>
      <c r="AI21" s="573"/>
      <c r="AJ21" s="573"/>
      <c r="AK21" s="573"/>
      <c r="AL21" s="573">
        <f t="shared" si="4"/>
        <v>130744.72534999999</v>
      </c>
      <c r="AM21" s="573"/>
      <c r="AN21" s="573"/>
      <c r="AO21" s="573"/>
      <c r="AP21" s="573">
        <f t="shared" si="5"/>
        <v>130744.72534999999</v>
      </c>
      <c r="AQ21" s="573"/>
      <c r="AR21" s="573"/>
      <c r="AS21" s="573"/>
      <c r="AT21" s="573">
        <f t="shared" si="6"/>
        <v>130744.72534999999</v>
      </c>
      <c r="AU21" s="573"/>
      <c r="AV21" s="573"/>
      <c r="AW21" s="573"/>
      <c r="AX21" s="573">
        <f t="shared" si="7"/>
        <v>130744.72534999999</v>
      </c>
      <c r="AY21" s="573"/>
      <c r="AZ21" s="573"/>
      <c r="BA21" s="573"/>
      <c r="BB21" s="573">
        <f t="shared" si="8"/>
        <v>130744.72534999999</v>
      </c>
      <c r="BC21" s="573"/>
      <c r="BD21" s="573"/>
      <c r="BE21" s="573"/>
      <c r="BF21" s="573">
        <f t="shared" si="9"/>
        <v>130744.72534999999</v>
      </c>
      <c r="BG21" s="573"/>
      <c r="BH21" s="573"/>
      <c r="BI21" s="573"/>
      <c r="BJ21" s="573">
        <f t="shared" si="10"/>
        <v>130744.72534999999</v>
      </c>
      <c r="BK21" s="573"/>
      <c r="BL21" s="573"/>
      <c r="BM21" s="573"/>
      <c r="BN21" s="573">
        <f t="shared" si="11"/>
        <v>130744.72534999999</v>
      </c>
      <c r="BO21" s="573"/>
      <c r="BP21" s="573"/>
      <c r="BQ21" s="573"/>
      <c r="BR21" s="573">
        <f t="shared" si="12"/>
        <v>130744.72534999999</v>
      </c>
      <c r="BS21" s="573"/>
      <c r="BT21" s="573"/>
      <c r="BU21" s="573"/>
      <c r="BV21" s="573">
        <f t="shared" si="13"/>
        <v>130744.72534999999</v>
      </c>
      <c r="BW21" s="573"/>
      <c r="BX21" s="573"/>
      <c r="BY21" s="573"/>
    </row>
    <row r="22" spans="1:77" s="385" customFormat="1" ht="25.2" customHeight="1">
      <c r="A22" s="587"/>
      <c r="B22" s="584" t="s">
        <v>53</v>
      </c>
      <c r="C22" s="584"/>
      <c r="D22" s="584"/>
      <c r="E22" s="584"/>
      <c r="F22" s="584"/>
      <c r="G22" s="584"/>
      <c r="H22" s="584"/>
      <c r="I22" s="584"/>
      <c r="J22" s="584"/>
      <c r="K22" s="584"/>
      <c r="N22" s="585"/>
      <c r="O22" s="585"/>
      <c r="P22" s="585"/>
      <c r="Q22" s="585"/>
      <c r="R22" s="573">
        <f>CanonAnual!L9</f>
        <v>212358.92096383477</v>
      </c>
      <c r="S22" s="573"/>
      <c r="T22" s="573"/>
      <c r="U22" s="573"/>
      <c r="V22" s="573">
        <f t="shared" si="0"/>
        <v>212358.92096383477</v>
      </c>
      <c r="W22" s="573"/>
      <c r="X22" s="573"/>
      <c r="Y22" s="573"/>
      <c r="Z22" s="573">
        <f t="shared" si="1"/>
        <v>212358.92096383477</v>
      </c>
      <c r="AA22" s="573"/>
      <c r="AB22" s="573"/>
      <c r="AC22" s="573"/>
      <c r="AD22" s="573">
        <f t="shared" si="2"/>
        <v>212358.92096383477</v>
      </c>
      <c r="AE22" s="573"/>
      <c r="AF22" s="573"/>
      <c r="AG22" s="573"/>
      <c r="AH22" s="573">
        <f t="shared" si="3"/>
        <v>212358.92096383477</v>
      </c>
      <c r="AI22" s="573"/>
      <c r="AJ22" s="573"/>
      <c r="AK22" s="573"/>
      <c r="AL22" s="573">
        <f t="shared" si="4"/>
        <v>212358.92096383477</v>
      </c>
      <c r="AM22" s="573"/>
      <c r="AN22" s="573"/>
      <c r="AO22" s="573"/>
      <c r="AP22" s="573">
        <f t="shared" si="5"/>
        <v>212358.92096383477</v>
      </c>
      <c r="AQ22" s="573"/>
      <c r="AR22" s="573"/>
      <c r="AS22" s="573"/>
      <c r="AT22" s="573">
        <f t="shared" si="6"/>
        <v>212358.92096383477</v>
      </c>
      <c r="AU22" s="573"/>
      <c r="AV22" s="573"/>
      <c r="AW22" s="573"/>
      <c r="AX22" s="573">
        <f t="shared" si="7"/>
        <v>212358.92096383477</v>
      </c>
      <c r="AY22" s="573"/>
      <c r="AZ22" s="573"/>
      <c r="BA22" s="573"/>
      <c r="BB22" s="573">
        <f t="shared" si="8"/>
        <v>212358.92096383477</v>
      </c>
      <c r="BC22" s="573"/>
      <c r="BD22" s="573"/>
      <c r="BE22" s="573"/>
      <c r="BF22" s="573">
        <f t="shared" si="9"/>
        <v>212358.92096383477</v>
      </c>
      <c r="BG22" s="573"/>
      <c r="BH22" s="573"/>
      <c r="BI22" s="573"/>
      <c r="BJ22" s="573">
        <f t="shared" si="10"/>
        <v>212358.92096383477</v>
      </c>
      <c r="BK22" s="573"/>
      <c r="BL22" s="573"/>
      <c r="BM22" s="573"/>
      <c r="BN22" s="573">
        <f t="shared" si="11"/>
        <v>212358.92096383477</v>
      </c>
      <c r="BO22" s="573"/>
      <c r="BP22" s="573"/>
      <c r="BQ22" s="573"/>
      <c r="BR22" s="573">
        <f t="shared" si="12"/>
        <v>212358.92096383477</v>
      </c>
      <c r="BS22" s="573"/>
      <c r="BT22" s="573"/>
      <c r="BU22" s="573"/>
      <c r="BV22" s="573">
        <f t="shared" si="13"/>
        <v>212358.92096383477</v>
      </c>
      <c r="BW22" s="573"/>
      <c r="BX22" s="573"/>
      <c r="BY22" s="573"/>
    </row>
    <row r="23" spans="1:77" ht="4.95" customHeight="1">
      <c r="A23" s="587"/>
      <c r="N23" s="394"/>
      <c r="O23" s="394"/>
      <c r="P23" s="394"/>
      <c r="Q23" s="394"/>
      <c r="R23" s="394"/>
      <c r="S23" s="394"/>
      <c r="T23" s="394"/>
      <c r="U23" s="394"/>
      <c r="V23" s="394"/>
      <c r="W23" s="394"/>
      <c r="X23" s="394"/>
      <c r="Y23" s="394"/>
      <c r="Z23" s="394"/>
      <c r="AA23" s="394"/>
      <c r="AB23" s="394"/>
      <c r="AC23" s="394"/>
      <c r="AD23" s="394"/>
      <c r="AE23" s="394"/>
      <c r="AF23" s="394"/>
      <c r="AG23" s="394"/>
      <c r="AH23" s="394"/>
      <c r="AI23" s="394"/>
      <c r="AJ23" s="394"/>
      <c r="AK23" s="394"/>
      <c r="AL23" s="394"/>
      <c r="AM23" s="394"/>
      <c r="AN23" s="394"/>
      <c r="AO23" s="394"/>
      <c r="AP23" s="394"/>
      <c r="AQ23" s="394"/>
      <c r="AR23" s="394"/>
      <c r="AS23" s="394"/>
      <c r="AT23" s="394"/>
      <c r="AU23" s="394"/>
      <c r="AV23" s="394"/>
      <c r="AW23" s="394"/>
      <c r="AX23" s="394"/>
      <c r="AY23" s="394"/>
      <c r="AZ23" s="394"/>
      <c r="BA23" s="394"/>
      <c r="BB23" s="394"/>
      <c r="BC23" s="394"/>
      <c r="BD23" s="394"/>
      <c r="BE23" s="394"/>
      <c r="BF23" s="394"/>
      <c r="BG23" s="394"/>
      <c r="BH23" s="394"/>
      <c r="BI23" s="394"/>
      <c r="BJ23" s="394"/>
      <c r="BK23" s="394"/>
      <c r="BL23" s="394"/>
      <c r="BM23" s="394"/>
      <c r="BN23" s="394"/>
      <c r="BO23" s="394"/>
      <c r="BP23" s="394"/>
      <c r="BQ23" s="394"/>
      <c r="BR23" s="394"/>
      <c r="BS23" s="394"/>
      <c r="BT23" s="394"/>
      <c r="BU23" s="394"/>
      <c r="BV23" s="394"/>
      <c r="BW23" s="394"/>
      <c r="BX23" s="394"/>
      <c r="BY23" s="394"/>
    </row>
    <row r="24" spans="1:77">
      <c r="A24" s="587"/>
      <c r="B24" s="390" t="s">
        <v>984</v>
      </c>
      <c r="C24" s="390"/>
      <c r="D24" s="390"/>
      <c r="E24" s="390"/>
      <c r="F24" s="390"/>
      <c r="G24" s="390"/>
      <c r="H24" s="390"/>
      <c r="I24" s="390"/>
      <c r="J24" s="390"/>
      <c r="K24" s="390"/>
      <c r="L24" s="390"/>
      <c r="M24" s="390"/>
      <c r="N24" s="583"/>
      <c r="O24" s="583"/>
      <c r="P24" s="583"/>
      <c r="Q24" s="583"/>
      <c r="R24" s="582">
        <f>SUM(R17:U23)</f>
        <v>4442784.4116707081</v>
      </c>
      <c r="S24" s="582"/>
      <c r="T24" s="582"/>
      <c r="U24" s="582"/>
      <c r="V24" s="582">
        <f>SUM(V17:Y23)</f>
        <v>4442784.4116707081</v>
      </c>
      <c r="W24" s="582"/>
      <c r="X24" s="582"/>
      <c r="Y24" s="582"/>
      <c r="Z24" s="582">
        <f>SUM(Z17:AC23)</f>
        <v>4442784.4116707081</v>
      </c>
      <c r="AA24" s="582"/>
      <c r="AB24" s="582"/>
      <c r="AC24" s="582"/>
      <c r="AD24" s="582">
        <f>SUM(AD17:AG23)</f>
        <v>4442784.4116707081</v>
      </c>
      <c r="AE24" s="582"/>
      <c r="AF24" s="582"/>
      <c r="AG24" s="582"/>
      <c r="AH24" s="582">
        <f>SUM(AH17:AK23)</f>
        <v>4442784.4116707081</v>
      </c>
      <c r="AI24" s="582"/>
      <c r="AJ24" s="582"/>
      <c r="AK24" s="582"/>
      <c r="AL24" s="582">
        <f>SUM(AL17:AO23)</f>
        <v>4442784.4116707081</v>
      </c>
      <c r="AM24" s="582"/>
      <c r="AN24" s="582"/>
      <c r="AO24" s="582"/>
      <c r="AP24" s="582">
        <f>SUM(AP17:AS23)</f>
        <v>4442784.4116707081</v>
      </c>
      <c r="AQ24" s="582"/>
      <c r="AR24" s="582"/>
      <c r="AS24" s="582"/>
      <c r="AT24" s="582">
        <f>SUM(AT17:AW23)</f>
        <v>4442784.4116707081</v>
      </c>
      <c r="AU24" s="582"/>
      <c r="AV24" s="582"/>
      <c r="AW24" s="582"/>
      <c r="AX24" s="582">
        <f>SUM(AX17:BA23)</f>
        <v>4442784.4116707081</v>
      </c>
      <c r="AY24" s="582"/>
      <c r="AZ24" s="582"/>
      <c r="BA24" s="582"/>
      <c r="BB24" s="583">
        <f>SUM(BB17:BE23)</f>
        <v>4442784.4116707081</v>
      </c>
      <c r="BC24" s="583"/>
      <c r="BD24" s="583"/>
      <c r="BE24" s="583"/>
      <c r="BF24" s="583">
        <f>SUM(BF17:BI23)</f>
        <v>4442784.4116707081</v>
      </c>
      <c r="BG24" s="583"/>
      <c r="BH24" s="583"/>
      <c r="BI24" s="583"/>
      <c r="BJ24" s="583">
        <f>SUM(BJ17:BM23)</f>
        <v>4442784.4116707081</v>
      </c>
      <c r="BK24" s="583"/>
      <c r="BL24" s="583"/>
      <c r="BM24" s="583"/>
      <c r="BN24" s="583">
        <f>SUM(BN17:BQ23)</f>
        <v>4442784.4116707081</v>
      </c>
      <c r="BO24" s="583"/>
      <c r="BP24" s="583"/>
      <c r="BQ24" s="583"/>
      <c r="BR24" s="583">
        <f>SUM(BR17:BU23)</f>
        <v>4442784.4116707081</v>
      </c>
      <c r="BS24" s="583"/>
      <c r="BT24" s="583"/>
      <c r="BU24" s="583"/>
      <c r="BV24" s="583">
        <f>SUM(BV17:BY23)</f>
        <v>4442784.4116707081</v>
      </c>
      <c r="BW24" s="583"/>
      <c r="BX24" s="583"/>
      <c r="BY24" s="583"/>
    </row>
    <row r="25" spans="1:77" ht="4.95" customHeight="1">
      <c r="A25" s="587"/>
      <c r="N25" s="394"/>
      <c r="O25" s="394"/>
      <c r="P25" s="394"/>
      <c r="Q25" s="394"/>
      <c r="R25" s="394"/>
      <c r="S25" s="394"/>
      <c r="T25" s="394"/>
      <c r="U25" s="394"/>
      <c r="V25" s="394"/>
      <c r="W25" s="394"/>
      <c r="X25" s="394"/>
      <c r="Y25" s="394"/>
      <c r="Z25" s="394"/>
      <c r="AA25" s="394"/>
      <c r="AB25" s="394"/>
      <c r="AC25" s="394"/>
      <c r="AD25" s="394"/>
      <c r="AE25" s="394"/>
      <c r="AF25" s="394"/>
      <c r="AG25" s="394"/>
      <c r="AH25" s="394"/>
      <c r="AI25" s="394"/>
      <c r="AJ25" s="394"/>
      <c r="AK25" s="394"/>
      <c r="AL25" s="394"/>
      <c r="AM25" s="394"/>
      <c r="AN25" s="394"/>
      <c r="AO25" s="394"/>
      <c r="AP25" s="394"/>
      <c r="AQ25" s="394"/>
      <c r="AR25" s="394"/>
      <c r="AS25" s="394"/>
      <c r="AT25" s="394"/>
      <c r="AU25" s="394"/>
      <c r="AV25" s="394"/>
      <c r="AW25" s="394"/>
      <c r="AX25" s="394"/>
      <c r="AY25" s="394"/>
      <c r="AZ25" s="394"/>
      <c r="BA25" s="394"/>
      <c r="BB25" s="394"/>
      <c r="BC25" s="394"/>
      <c r="BD25" s="394"/>
      <c r="BE25" s="394"/>
      <c r="BF25" s="394"/>
      <c r="BG25" s="394"/>
      <c r="BH25" s="394"/>
      <c r="BI25" s="394"/>
      <c r="BJ25" s="394"/>
      <c r="BK25" s="394"/>
      <c r="BL25" s="394"/>
      <c r="BM25" s="394"/>
      <c r="BN25" s="394"/>
      <c r="BO25" s="394"/>
      <c r="BP25" s="394"/>
      <c r="BQ25" s="394"/>
      <c r="BR25" s="394"/>
      <c r="BS25" s="394"/>
      <c r="BT25" s="394"/>
      <c r="BU25" s="394"/>
      <c r="BV25" s="394"/>
      <c r="BW25" s="394"/>
      <c r="BX25" s="394"/>
      <c r="BY25" s="394"/>
    </row>
    <row r="26" spans="1:77">
      <c r="A26" s="587"/>
      <c r="B26" s="380" t="s">
        <v>1032</v>
      </c>
      <c r="N26" s="573"/>
      <c r="O26" s="573"/>
      <c r="P26" s="573"/>
      <c r="Q26" s="573"/>
      <c r="R26" s="573">
        <f>CanonAnual!O11+CanonAnual!O12</f>
        <v>913352.59244934842</v>
      </c>
      <c r="S26" s="573"/>
      <c r="T26" s="573"/>
      <c r="U26" s="573"/>
      <c r="V26" s="573">
        <f>R26</f>
        <v>913352.59244934842</v>
      </c>
      <c r="W26" s="573"/>
      <c r="X26" s="573"/>
      <c r="Y26" s="573"/>
      <c r="Z26" s="573">
        <f>V26</f>
        <v>913352.59244934842</v>
      </c>
      <c r="AA26" s="573"/>
      <c r="AB26" s="573"/>
      <c r="AC26" s="573"/>
      <c r="AD26" s="573">
        <f>Z26</f>
        <v>913352.59244934842</v>
      </c>
      <c r="AE26" s="573"/>
      <c r="AF26" s="573"/>
      <c r="AG26" s="573"/>
      <c r="AH26" s="573">
        <f>AD26</f>
        <v>913352.59244934842</v>
      </c>
      <c r="AI26" s="573"/>
      <c r="AJ26" s="573"/>
      <c r="AK26" s="573"/>
      <c r="AL26" s="573">
        <f>AH26</f>
        <v>913352.59244934842</v>
      </c>
      <c r="AM26" s="573"/>
      <c r="AN26" s="573"/>
      <c r="AO26" s="573"/>
      <c r="AP26" s="573">
        <f>AL26</f>
        <v>913352.59244934842</v>
      </c>
      <c r="AQ26" s="573"/>
      <c r="AR26" s="573"/>
      <c r="AS26" s="573"/>
      <c r="AT26" s="573">
        <f>AP26</f>
        <v>913352.59244934842</v>
      </c>
      <c r="AU26" s="573"/>
      <c r="AV26" s="573"/>
      <c r="AW26" s="573"/>
      <c r="AX26" s="573">
        <f>AT26</f>
        <v>913352.59244934842</v>
      </c>
      <c r="AY26" s="573"/>
      <c r="AZ26" s="573"/>
      <c r="BA26" s="573"/>
      <c r="BB26" s="573">
        <f>AX26</f>
        <v>913352.59244934842</v>
      </c>
      <c r="BC26" s="573"/>
      <c r="BD26" s="573"/>
      <c r="BE26" s="573"/>
      <c r="BF26" s="573">
        <f>BB26</f>
        <v>913352.59244934842</v>
      </c>
      <c r="BG26" s="573"/>
      <c r="BH26" s="573"/>
      <c r="BI26" s="573"/>
      <c r="BJ26" s="573">
        <f>BF26</f>
        <v>913352.59244934842</v>
      </c>
      <c r="BK26" s="573"/>
      <c r="BL26" s="573"/>
      <c r="BM26" s="573"/>
      <c r="BN26" s="573">
        <f>BJ26</f>
        <v>913352.59244934842</v>
      </c>
      <c r="BO26" s="573"/>
      <c r="BP26" s="573"/>
      <c r="BQ26" s="573"/>
      <c r="BR26" s="573">
        <f>BN26</f>
        <v>913352.59244934842</v>
      </c>
      <c r="BS26" s="573"/>
      <c r="BT26" s="573"/>
      <c r="BU26" s="573"/>
      <c r="BV26" s="573">
        <f>BR26</f>
        <v>913352.59244934842</v>
      </c>
      <c r="BW26" s="573"/>
      <c r="BX26" s="573"/>
      <c r="BY26" s="573"/>
    </row>
    <row r="27" spans="1:77" ht="4.95" customHeight="1">
      <c r="N27" s="394"/>
      <c r="O27" s="394"/>
      <c r="P27" s="394"/>
      <c r="Q27" s="394"/>
      <c r="R27" s="394"/>
      <c r="S27" s="394"/>
      <c r="T27" s="394"/>
      <c r="U27" s="394"/>
      <c r="V27" s="394"/>
      <c r="W27" s="394"/>
      <c r="X27" s="394"/>
      <c r="Y27" s="394"/>
      <c r="Z27" s="394"/>
      <c r="AA27" s="394"/>
      <c r="AB27" s="394"/>
      <c r="AC27" s="394"/>
      <c r="AD27" s="394"/>
      <c r="AE27" s="394"/>
      <c r="AF27" s="394"/>
      <c r="AG27" s="394"/>
      <c r="AH27" s="394"/>
      <c r="AI27" s="394"/>
      <c r="AJ27" s="394"/>
      <c r="AK27" s="394"/>
      <c r="AL27" s="394"/>
      <c r="AM27" s="394"/>
      <c r="AN27" s="394"/>
      <c r="AO27" s="394"/>
      <c r="AP27" s="394"/>
      <c r="AQ27" s="394"/>
      <c r="AR27" s="394"/>
      <c r="AS27" s="394"/>
      <c r="AT27" s="394"/>
      <c r="AU27" s="394"/>
      <c r="AV27" s="394"/>
      <c r="AW27" s="394"/>
      <c r="AX27" s="394"/>
      <c r="AY27" s="394"/>
      <c r="AZ27" s="394"/>
      <c r="BA27" s="394"/>
      <c r="BB27" s="394"/>
      <c r="BC27" s="394"/>
      <c r="BD27" s="394"/>
      <c r="BE27" s="394"/>
      <c r="BF27" s="394"/>
      <c r="BG27" s="394"/>
      <c r="BH27" s="394"/>
      <c r="BI27" s="394"/>
      <c r="BJ27" s="394"/>
      <c r="BK27" s="394"/>
      <c r="BL27" s="394"/>
      <c r="BM27" s="394"/>
      <c r="BN27" s="394"/>
      <c r="BO27" s="394"/>
      <c r="BP27" s="394"/>
      <c r="BQ27" s="394"/>
      <c r="BR27" s="394"/>
      <c r="BS27" s="394"/>
      <c r="BT27" s="394"/>
      <c r="BU27" s="394"/>
      <c r="BV27" s="394"/>
      <c r="BW27" s="394"/>
      <c r="BX27" s="394"/>
      <c r="BY27" s="394"/>
    </row>
    <row r="28" spans="1:77" s="388" customFormat="1">
      <c r="A28" s="387"/>
      <c r="B28" s="581" t="s">
        <v>932</v>
      </c>
      <c r="C28" s="581"/>
      <c r="D28" s="581"/>
      <c r="E28" s="581"/>
      <c r="F28" s="581"/>
      <c r="G28" s="581"/>
      <c r="H28" s="581"/>
      <c r="I28" s="581"/>
      <c r="J28" s="581"/>
      <c r="K28" s="581"/>
      <c r="L28" s="581"/>
      <c r="M28" s="581"/>
      <c r="N28" s="580"/>
      <c r="O28" s="580"/>
      <c r="P28" s="580"/>
      <c r="Q28" s="580"/>
      <c r="R28" s="580">
        <f>R26+R24</f>
        <v>5356137.0041200565</v>
      </c>
      <c r="S28" s="580"/>
      <c r="T28" s="580"/>
      <c r="U28" s="580"/>
      <c r="V28" s="580">
        <f>V26+V24</f>
        <v>5356137.0041200565</v>
      </c>
      <c r="W28" s="580"/>
      <c r="X28" s="580"/>
      <c r="Y28" s="580"/>
      <c r="Z28" s="580">
        <f>Z26+Z24</f>
        <v>5356137.0041200565</v>
      </c>
      <c r="AA28" s="580"/>
      <c r="AB28" s="580"/>
      <c r="AC28" s="580"/>
      <c r="AD28" s="580">
        <f>AD26+AD24</f>
        <v>5356137.0041200565</v>
      </c>
      <c r="AE28" s="580"/>
      <c r="AF28" s="580"/>
      <c r="AG28" s="580"/>
      <c r="AH28" s="580">
        <f>AH26+AH24</f>
        <v>5356137.0041200565</v>
      </c>
      <c r="AI28" s="580"/>
      <c r="AJ28" s="580"/>
      <c r="AK28" s="580"/>
      <c r="AL28" s="580">
        <f>AL26+AL24</f>
        <v>5356137.0041200565</v>
      </c>
      <c r="AM28" s="580"/>
      <c r="AN28" s="580"/>
      <c r="AO28" s="580"/>
      <c r="AP28" s="580">
        <f>AP26+AP24</f>
        <v>5356137.0041200565</v>
      </c>
      <c r="AQ28" s="580"/>
      <c r="AR28" s="580"/>
      <c r="AS28" s="580"/>
      <c r="AT28" s="580">
        <f>AT26+AT24</f>
        <v>5356137.0041200565</v>
      </c>
      <c r="AU28" s="580"/>
      <c r="AV28" s="580"/>
      <c r="AW28" s="580"/>
      <c r="AX28" s="580">
        <f>AX26+AX24</f>
        <v>5356137.0041200565</v>
      </c>
      <c r="AY28" s="580"/>
      <c r="AZ28" s="580"/>
      <c r="BA28" s="580"/>
      <c r="BB28" s="578">
        <f>BB26+BB24+BB15</f>
        <v>5356137.0041200565</v>
      </c>
      <c r="BC28" s="578"/>
      <c r="BD28" s="578"/>
      <c r="BE28" s="578"/>
      <c r="BF28" s="578">
        <f>BF26+BF24+BF15</f>
        <v>5356137.0041200565</v>
      </c>
      <c r="BG28" s="578"/>
      <c r="BH28" s="578"/>
      <c r="BI28" s="578"/>
      <c r="BJ28" s="578">
        <f>BJ26+BJ24+BJ15</f>
        <v>5356137.0041200565</v>
      </c>
      <c r="BK28" s="578"/>
      <c r="BL28" s="578"/>
      <c r="BM28" s="578"/>
      <c r="BN28" s="578">
        <f>BN26+BN24+BN15</f>
        <v>5356137.0041200565</v>
      </c>
      <c r="BO28" s="578"/>
      <c r="BP28" s="578"/>
      <c r="BQ28" s="578"/>
      <c r="BR28" s="578">
        <f>BR26+BR24+BR15</f>
        <v>5356137.0041200565</v>
      </c>
      <c r="BS28" s="578"/>
      <c r="BT28" s="578"/>
      <c r="BU28" s="578"/>
      <c r="BV28" s="578">
        <f>BV26+BV24+BV15</f>
        <v>5356137.0041200565</v>
      </c>
      <c r="BW28" s="578"/>
      <c r="BX28" s="578"/>
      <c r="BY28" s="578"/>
    </row>
    <row r="29" spans="1:77" ht="4.95" customHeight="1">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394"/>
      <c r="AU29" s="394"/>
      <c r="AV29" s="394"/>
      <c r="AW29" s="394"/>
      <c r="AX29" s="394"/>
      <c r="AY29" s="394"/>
      <c r="AZ29" s="394"/>
      <c r="BA29" s="394"/>
      <c r="BB29" s="394"/>
      <c r="BC29" s="394"/>
      <c r="BD29" s="394"/>
      <c r="BE29" s="394"/>
      <c r="BF29" s="394"/>
      <c r="BG29" s="394"/>
      <c r="BH29" s="394"/>
      <c r="BI29" s="394"/>
      <c r="BJ29" s="394"/>
      <c r="BK29" s="394"/>
      <c r="BL29" s="394"/>
      <c r="BM29" s="394"/>
      <c r="BN29" s="394"/>
      <c r="BO29" s="394"/>
      <c r="BP29" s="394"/>
      <c r="BQ29" s="394"/>
      <c r="BR29" s="394"/>
      <c r="BS29" s="394"/>
      <c r="BT29" s="394"/>
      <c r="BU29" s="394"/>
      <c r="BV29" s="394"/>
      <c r="BW29" s="394"/>
      <c r="BX29" s="394"/>
      <c r="BY29" s="394"/>
    </row>
    <row r="30" spans="1:77" s="388" customFormat="1">
      <c r="A30" s="389"/>
      <c r="B30" s="579" t="s">
        <v>993</v>
      </c>
      <c r="C30" s="579"/>
      <c r="D30" s="579"/>
      <c r="E30" s="579"/>
      <c r="F30" s="579"/>
      <c r="G30" s="579"/>
      <c r="H30" s="579"/>
      <c r="I30" s="579"/>
      <c r="J30" s="579"/>
      <c r="K30" s="579"/>
      <c r="L30" s="579"/>
      <c r="M30" s="579"/>
      <c r="N30" s="395"/>
      <c r="O30" s="395"/>
      <c r="P30" s="395"/>
      <c r="Q30" s="395"/>
      <c r="R30" s="395"/>
      <c r="S30" s="395"/>
      <c r="T30" s="395"/>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c r="BE30" s="395"/>
      <c r="BF30" s="395"/>
      <c r="BG30" s="395"/>
      <c r="BH30" s="395"/>
      <c r="BI30" s="395"/>
      <c r="BJ30" s="395"/>
      <c r="BK30" s="395"/>
      <c r="BL30" s="395"/>
      <c r="BM30" s="395"/>
      <c r="BN30" s="395"/>
      <c r="BO30" s="395"/>
      <c r="BP30" s="395"/>
      <c r="BQ30" s="395"/>
      <c r="BR30" s="395"/>
      <c r="BS30" s="395"/>
      <c r="BT30" s="395"/>
      <c r="BU30" s="395"/>
      <c r="BV30" s="395"/>
      <c r="BW30" s="395"/>
      <c r="BX30" s="395"/>
      <c r="BY30" s="395"/>
    </row>
    <row r="31" spans="1:77" ht="4.95" customHeight="1">
      <c r="N31" s="394"/>
      <c r="O31" s="394"/>
      <c r="P31" s="394"/>
      <c r="Q31" s="394"/>
      <c r="R31" s="394"/>
      <c r="S31" s="394"/>
      <c r="T31" s="394"/>
      <c r="U31" s="394"/>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394"/>
      <c r="AS31" s="394"/>
      <c r="AT31" s="394"/>
      <c r="AU31" s="394"/>
      <c r="AV31" s="394"/>
      <c r="AW31" s="394"/>
      <c r="AX31" s="394"/>
      <c r="AY31" s="394"/>
      <c r="AZ31" s="394"/>
      <c r="BA31" s="394"/>
      <c r="BB31" s="394"/>
      <c r="BC31" s="394"/>
      <c r="BD31" s="394"/>
      <c r="BE31" s="394"/>
      <c r="BF31" s="394"/>
      <c r="BG31" s="394"/>
      <c r="BH31" s="394"/>
      <c r="BI31" s="394"/>
      <c r="BJ31" s="394"/>
      <c r="BK31" s="394"/>
      <c r="BL31" s="394"/>
      <c r="BM31" s="394"/>
      <c r="BN31" s="394"/>
      <c r="BO31" s="394"/>
      <c r="BP31" s="394"/>
      <c r="BQ31" s="394"/>
      <c r="BR31" s="394"/>
      <c r="BS31" s="394"/>
      <c r="BT31" s="394"/>
      <c r="BU31" s="394"/>
      <c r="BV31" s="394"/>
      <c r="BW31" s="394"/>
      <c r="BX31" s="394"/>
      <c r="BY31" s="394"/>
    </row>
    <row r="32" spans="1:77" s="381" customFormat="1" ht="12">
      <c r="B32" s="381" t="s">
        <v>933</v>
      </c>
      <c r="N32" s="573"/>
      <c r="O32" s="573"/>
      <c r="P32" s="573"/>
      <c r="Q32" s="573"/>
      <c r="R32" s="573">
        <f>CanonAnual!L10</f>
        <v>4807118.9076281497</v>
      </c>
      <c r="S32" s="573"/>
      <c r="T32" s="573"/>
      <c r="U32" s="573"/>
      <c r="V32" s="573">
        <f>R32</f>
        <v>4807118.9076281497</v>
      </c>
      <c r="W32" s="573"/>
      <c r="X32" s="573"/>
      <c r="Y32" s="573"/>
      <c r="Z32" s="573">
        <f>V32</f>
        <v>4807118.9076281497</v>
      </c>
      <c r="AA32" s="573"/>
      <c r="AB32" s="573"/>
      <c r="AC32" s="573"/>
      <c r="AD32" s="573">
        <f>Z32</f>
        <v>4807118.9076281497</v>
      </c>
      <c r="AE32" s="573"/>
      <c r="AF32" s="573"/>
      <c r="AG32" s="573"/>
      <c r="AH32" s="573">
        <f>AD32</f>
        <v>4807118.9076281497</v>
      </c>
      <c r="AI32" s="573"/>
      <c r="AJ32" s="573"/>
      <c r="AK32" s="573"/>
      <c r="AL32" s="573">
        <f>AH32</f>
        <v>4807118.9076281497</v>
      </c>
      <c r="AM32" s="573"/>
      <c r="AN32" s="573"/>
      <c r="AO32" s="573"/>
      <c r="AP32" s="573">
        <f>AL32</f>
        <v>4807118.9076281497</v>
      </c>
      <c r="AQ32" s="573"/>
      <c r="AR32" s="573"/>
      <c r="AS32" s="573"/>
      <c r="AT32" s="573">
        <f>AP32</f>
        <v>4807118.9076281497</v>
      </c>
      <c r="AU32" s="573"/>
      <c r="AV32" s="573"/>
      <c r="AW32" s="573"/>
      <c r="AX32" s="573">
        <f>AT32</f>
        <v>4807118.9076281497</v>
      </c>
      <c r="AY32" s="573"/>
      <c r="AZ32" s="573"/>
      <c r="BA32" s="573"/>
      <c r="BB32" s="573">
        <f>AX32</f>
        <v>4807118.9076281497</v>
      </c>
      <c r="BC32" s="573"/>
      <c r="BD32" s="573"/>
      <c r="BE32" s="573"/>
      <c r="BF32" s="573">
        <f>BB32</f>
        <v>4807118.9076281497</v>
      </c>
      <c r="BG32" s="573"/>
      <c r="BH32" s="573"/>
      <c r="BI32" s="573"/>
      <c r="BJ32" s="573">
        <f>BF32</f>
        <v>4807118.9076281497</v>
      </c>
      <c r="BK32" s="573"/>
      <c r="BL32" s="573"/>
      <c r="BM32" s="573"/>
      <c r="BN32" s="573">
        <f>BJ32</f>
        <v>4807118.9076281497</v>
      </c>
      <c r="BO32" s="573"/>
      <c r="BP32" s="573"/>
      <c r="BQ32" s="573"/>
      <c r="BR32" s="573">
        <f>BN32</f>
        <v>4807118.9076281497</v>
      </c>
      <c r="BS32" s="573"/>
      <c r="BT32" s="573"/>
      <c r="BU32" s="573"/>
      <c r="BV32" s="573">
        <f>BR32</f>
        <v>4807118.9076281497</v>
      </c>
      <c r="BW32" s="573"/>
      <c r="BX32" s="573"/>
      <c r="BY32" s="573"/>
    </row>
    <row r="33" spans="1:77" s="381" customFormat="1" ht="4.95" customHeight="1">
      <c r="N33" s="393"/>
      <c r="O33" s="393"/>
      <c r="P33" s="393"/>
      <c r="Q33" s="393"/>
      <c r="R33" s="393"/>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393"/>
      <c r="BN33" s="393"/>
      <c r="BO33" s="393"/>
      <c r="BP33" s="393"/>
      <c r="BQ33" s="393"/>
      <c r="BR33" s="393"/>
      <c r="BS33" s="393"/>
      <c r="BT33" s="393"/>
      <c r="BU33" s="393"/>
      <c r="BV33" s="393"/>
      <c r="BW33" s="393"/>
      <c r="BX33" s="393"/>
      <c r="BY33" s="393"/>
    </row>
    <row r="34" spans="1:77" s="381" customFormat="1" ht="12">
      <c r="A34" s="391"/>
      <c r="B34" s="577" t="s">
        <v>934</v>
      </c>
      <c r="C34" s="577"/>
      <c r="D34" s="577"/>
      <c r="E34" s="577"/>
      <c r="F34" s="577"/>
      <c r="G34" s="577"/>
      <c r="H34" s="577"/>
      <c r="I34" s="577"/>
      <c r="J34" s="577"/>
      <c r="K34" s="577"/>
      <c r="L34" s="577"/>
      <c r="M34" s="577"/>
      <c r="N34" s="575"/>
      <c r="O34" s="575"/>
      <c r="P34" s="575"/>
      <c r="Q34" s="575"/>
      <c r="R34" s="575">
        <f>R32*(1+(CanonAnual!$L$11+CanonAnual!$L$12))</f>
        <v>5720471.5000774981</v>
      </c>
      <c r="S34" s="575"/>
      <c r="T34" s="575"/>
      <c r="U34" s="575"/>
      <c r="V34" s="575">
        <f>V32*(1+(CanonAnual!$L$11+CanonAnual!$L$12))</f>
        <v>5720471.5000774981</v>
      </c>
      <c r="W34" s="575"/>
      <c r="X34" s="575"/>
      <c r="Y34" s="575"/>
      <c r="Z34" s="575">
        <f>Z32*(1+(CanonAnual!$L$11+CanonAnual!$L$12))</f>
        <v>5720471.5000774981</v>
      </c>
      <c r="AA34" s="575"/>
      <c r="AB34" s="575"/>
      <c r="AC34" s="575"/>
      <c r="AD34" s="575">
        <f>AD32*(1+(CanonAnual!$L$11+CanonAnual!$L$12))</f>
        <v>5720471.5000774981</v>
      </c>
      <c r="AE34" s="575"/>
      <c r="AF34" s="575"/>
      <c r="AG34" s="575"/>
      <c r="AH34" s="575">
        <f>AH32*(1+(CanonAnual!$L$11+CanonAnual!$L$12))</f>
        <v>5720471.5000774981</v>
      </c>
      <c r="AI34" s="575"/>
      <c r="AJ34" s="575"/>
      <c r="AK34" s="575"/>
      <c r="AL34" s="575">
        <f>AL32*(1+(CanonAnual!$L$11+CanonAnual!$L$12))</f>
        <v>5720471.5000774981</v>
      </c>
      <c r="AM34" s="575"/>
      <c r="AN34" s="575"/>
      <c r="AO34" s="575"/>
      <c r="AP34" s="575">
        <f>AP32*(1+(CanonAnual!$L$11+CanonAnual!$L$12))</f>
        <v>5720471.5000774981</v>
      </c>
      <c r="AQ34" s="575"/>
      <c r="AR34" s="575"/>
      <c r="AS34" s="575"/>
      <c r="AT34" s="575">
        <f>AT32*(1+(CanonAnual!$L$11+CanonAnual!$L$12))</f>
        <v>5720471.5000774981</v>
      </c>
      <c r="AU34" s="575"/>
      <c r="AV34" s="575"/>
      <c r="AW34" s="575"/>
      <c r="AX34" s="575">
        <f>AX32*(1+(CanonAnual!$L$11+CanonAnual!$L$12))</f>
        <v>5720471.5000774981</v>
      </c>
      <c r="AY34" s="575"/>
      <c r="AZ34" s="575"/>
      <c r="BA34" s="575"/>
      <c r="BB34" s="575">
        <f>BB32*(1+(CanonAnual!$L$11+CanonAnual!$L$12))</f>
        <v>5720471.5000774981</v>
      </c>
      <c r="BC34" s="575"/>
      <c r="BD34" s="575"/>
      <c r="BE34" s="575"/>
      <c r="BF34" s="575">
        <f>BF32*(1+(CanonAnual!$L$11+CanonAnual!$L$12))</f>
        <v>5720471.5000774981</v>
      </c>
      <c r="BG34" s="575"/>
      <c r="BH34" s="575"/>
      <c r="BI34" s="575"/>
      <c r="BJ34" s="575">
        <f>BJ32*(1+(CanonAnual!$L$11+CanonAnual!$L$12))</f>
        <v>5720471.5000774981</v>
      </c>
      <c r="BK34" s="575"/>
      <c r="BL34" s="575"/>
      <c r="BM34" s="575"/>
      <c r="BN34" s="575">
        <f>BN32*(1+(CanonAnual!$L$11+CanonAnual!$L$12))</f>
        <v>5720471.5000774981</v>
      </c>
      <c r="BO34" s="575"/>
      <c r="BP34" s="575"/>
      <c r="BQ34" s="575"/>
      <c r="BR34" s="575">
        <f>BR32*(1+(CanonAnual!$L$11+CanonAnual!$L$12))</f>
        <v>5720471.5000774981</v>
      </c>
      <c r="BS34" s="575"/>
      <c r="BT34" s="575"/>
      <c r="BU34" s="575"/>
      <c r="BV34" s="575">
        <f>BV32*(1+(CanonAnual!$L$11+CanonAnual!$L$12))</f>
        <v>5720471.5000774981</v>
      </c>
      <c r="BW34" s="575"/>
      <c r="BX34" s="575"/>
      <c r="BY34" s="575"/>
    </row>
    <row r="35" spans="1:77" s="381" customFormat="1" ht="4.95" customHeight="1">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3"/>
      <c r="BF35" s="393"/>
      <c r="BG35" s="393"/>
      <c r="BH35" s="393"/>
      <c r="BI35" s="393"/>
      <c r="BJ35" s="393"/>
      <c r="BK35" s="393"/>
      <c r="BL35" s="393"/>
      <c r="BM35" s="393"/>
      <c r="BN35" s="393"/>
      <c r="BO35" s="393"/>
      <c r="BP35" s="393"/>
      <c r="BQ35" s="393"/>
      <c r="BR35" s="393"/>
      <c r="BS35" s="393"/>
      <c r="BT35" s="393"/>
      <c r="BU35" s="393"/>
      <c r="BV35" s="393"/>
      <c r="BW35" s="393"/>
      <c r="BX35" s="393"/>
      <c r="BY35" s="393"/>
    </row>
    <row r="36" spans="1:77">
      <c r="A36" s="384"/>
      <c r="B36" s="576" t="s">
        <v>935</v>
      </c>
      <c r="C36" s="576"/>
      <c r="D36" s="576"/>
      <c r="E36" s="576"/>
      <c r="F36" s="576"/>
      <c r="G36" s="576"/>
      <c r="H36" s="576"/>
      <c r="I36" s="576"/>
      <c r="J36" s="576"/>
      <c r="K36" s="576"/>
      <c r="L36" s="576"/>
      <c r="M36" s="57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6"/>
      <c r="AZ36" s="396"/>
      <c r="BA36" s="396"/>
      <c r="BB36" s="396"/>
      <c r="BC36" s="396"/>
      <c r="BD36" s="396"/>
      <c r="BE36" s="396"/>
      <c r="BF36" s="396"/>
      <c r="BG36" s="396"/>
      <c r="BH36" s="396"/>
      <c r="BI36" s="396"/>
      <c r="BJ36" s="396"/>
      <c r="BK36" s="396"/>
      <c r="BL36" s="396"/>
      <c r="BM36" s="396"/>
      <c r="BN36" s="396"/>
      <c r="BO36" s="396"/>
      <c r="BP36" s="396"/>
      <c r="BQ36" s="396"/>
      <c r="BR36" s="396"/>
      <c r="BS36" s="396"/>
      <c r="BT36" s="396"/>
      <c r="BU36" s="396"/>
      <c r="BV36" s="396"/>
      <c r="BW36" s="396"/>
      <c r="BX36" s="396"/>
      <c r="BY36" s="396"/>
    </row>
    <row r="37" spans="1:77" ht="4.95" customHeight="1">
      <c r="N37" s="394"/>
      <c r="O37" s="394"/>
      <c r="P37" s="394"/>
      <c r="Q37" s="394"/>
      <c r="R37" s="394"/>
      <c r="S37" s="394"/>
      <c r="T37" s="394"/>
      <c r="U37" s="394"/>
      <c r="V37" s="394"/>
      <c r="W37" s="394"/>
      <c r="X37" s="394"/>
      <c r="Y37" s="394"/>
      <c r="Z37" s="394"/>
      <c r="AA37" s="394"/>
      <c r="AB37" s="394"/>
      <c r="AC37" s="394"/>
      <c r="AD37" s="394"/>
      <c r="AE37" s="394"/>
      <c r="AF37" s="394"/>
      <c r="AG37" s="394"/>
      <c r="AH37" s="394"/>
      <c r="AI37" s="394"/>
      <c r="AJ37" s="394"/>
      <c r="AK37" s="394"/>
      <c r="AL37" s="394"/>
      <c r="AM37" s="394"/>
      <c r="AN37" s="394"/>
      <c r="AO37" s="394"/>
      <c r="AP37" s="394"/>
      <c r="AQ37" s="394"/>
      <c r="AR37" s="394"/>
      <c r="AS37" s="394"/>
      <c r="AT37" s="394"/>
      <c r="AU37" s="394"/>
      <c r="AV37" s="394"/>
      <c r="AW37" s="394"/>
      <c r="AX37" s="394"/>
      <c r="AY37" s="394"/>
      <c r="AZ37" s="394"/>
      <c r="BA37" s="394"/>
      <c r="BB37" s="394"/>
      <c r="BC37" s="394"/>
      <c r="BD37" s="394"/>
      <c r="BE37" s="394"/>
      <c r="BF37" s="394"/>
      <c r="BG37" s="394"/>
      <c r="BH37" s="394"/>
      <c r="BI37" s="394"/>
      <c r="BJ37" s="394"/>
      <c r="BK37" s="394"/>
      <c r="BL37" s="394"/>
      <c r="BM37" s="394"/>
      <c r="BN37" s="394"/>
      <c r="BO37" s="394"/>
      <c r="BP37" s="394"/>
      <c r="BQ37" s="394"/>
      <c r="BR37" s="394"/>
      <c r="BS37" s="394"/>
      <c r="BT37" s="394"/>
      <c r="BU37" s="394"/>
      <c r="BV37" s="394"/>
      <c r="BW37" s="394"/>
      <c r="BX37" s="394"/>
      <c r="BY37" s="394"/>
    </row>
    <row r="38" spans="1:77" s="381" customFormat="1" ht="12">
      <c r="B38" s="381" t="s">
        <v>938</v>
      </c>
      <c r="N38" s="573"/>
      <c r="O38" s="573"/>
      <c r="P38" s="573"/>
      <c r="Q38" s="573"/>
      <c r="R38" s="573">
        <f>R34-R28</f>
        <v>364334.49595744163</v>
      </c>
      <c r="S38" s="573"/>
      <c r="T38" s="573"/>
      <c r="U38" s="573"/>
      <c r="V38" s="573">
        <f>V34-V28</f>
        <v>364334.49595744163</v>
      </c>
      <c r="W38" s="573"/>
      <c r="X38" s="573"/>
      <c r="Y38" s="573"/>
      <c r="Z38" s="573">
        <f>Z34-Z28</f>
        <v>364334.49595744163</v>
      </c>
      <c r="AA38" s="573"/>
      <c r="AB38" s="573"/>
      <c r="AC38" s="573"/>
      <c r="AD38" s="573">
        <f>AD34-AD28</f>
        <v>364334.49595744163</v>
      </c>
      <c r="AE38" s="573"/>
      <c r="AF38" s="573"/>
      <c r="AG38" s="573"/>
      <c r="AH38" s="573">
        <f>AH34-AH28</f>
        <v>364334.49595744163</v>
      </c>
      <c r="AI38" s="573"/>
      <c r="AJ38" s="573"/>
      <c r="AK38" s="573"/>
      <c r="AL38" s="573">
        <f>AL34-AL28</f>
        <v>364334.49595744163</v>
      </c>
      <c r="AM38" s="573"/>
      <c r="AN38" s="573"/>
      <c r="AO38" s="573"/>
      <c r="AP38" s="573">
        <f>AP34-AP28</f>
        <v>364334.49595744163</v>
      </c>
      <c r="AQ38" s="573"/>
      <c r="AR38" s="573"/>
      <c r="AS38" s="573"/>
      <c r="AT38" s="573">
        <f>AT34-AT28</f>
        <v>364334.49595744163</v>
      </c>
      <c r="AU38" s="573"/>
      <c r="AV38" s="573"/>
      <c r="AW38" s="573"/>
      <c r="AX38" s="573">
        <f>AX32-AX24</f>
        <v>364334.49595744163</v>
      </c>
      <c r="AY38" s="573"/>
      <c r="AZ38" s="573"/>
      <c r="BA38" s="573"/>
      <c r="BB38" s="573">
        <f>BB32-BB24</f>
        <v>364334.49595744163</v>
      </c>
      <c r="BC38" s="573"/>
      <c r="BD38" s="573"/>
      <c r="BE38" s="573"/>
      <c r="BF38" s="573">
        <f>BF32-BF24</f>
        <v>364334.49595744163</v>
      </c>
      <c r="BG38" s="573"/>
      <c r="BH38" s="573"/>
      <c r="BI38" s="573"/>
      <c r="BJ38" s="573">
        <f>BJ32-BJ24</f>
        <v>364334.49595744163</v>
      </c>
      <c r="BK38" s="573"/>
      <c r="BL38" s="573"/>
      <c r="BM38" s="573"/>
      <c r="BN38" s="573">
        <f>BN32-BN24</f>
        <v>364334.49595744163</v>
      </c>
      <c r="BO38" s="573"/>
      <c r="BP38" s="573"/>
      <c r="BQ38" s="573"/>
      <c r="BR38" s="573">
        <f>BR32-BR24</f>
        <v>364334.49595744163</v>
      </c>
      <c r="BS38" s="573"/>
      <c r="BT38" s="573"/>
      <c r="BU38" s="573"/>
      <c r="BV38" s="573">
        <f>BV32-BV24</f>
        <v>364334.49595744163</v>
      </c>
      <c r="BW38" s="573"/>
      <c r="BX38" s="573"/>
      <c r="BY38" s="573"/>
    </row>
    <row r="39" spans="1:77" s="381" customFormat="1" ht="4.95" customHeight="1">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row>
    <row r="40" spans="1:77" s="381" customFormat="1" ht="12">
      <c r="B40" s="381" t="s">
        <v>939</v>
      </c>
      <c r="N40" s="573">
        <f>-N15</f>
        <v>-2044626.7747070312</v>
      </c>
      <c r="O40" s="573"/>
      <c r="P40" s="573"/>
      <c r="Q40" s="573"/>
      <c r="R40" s="573">
        <f>-R15</f>
        <v>0</v>
      </c>
      <c r="S40" s="573"/>
      <c r="T40" s="573"/>
      <c r="U40" s="573"/>
      <c r="V40" s="573">
        <f>-V15</f>
        <v>0</v>
      </c>
      <c r="W40" s="573"/>
      <c r="X40" s="573"/>
      <c r="Y40" s="573"/>
      <c r="Z40" s="573">
        <f>-Z15</f>
        <v>0</v>
      </c>
      <c r="AA40" s="573"/>
      <c r="AB40" s="573"/>
      <c r="AC40" s="573"/>
      <c r="AD40" s="573">
        <f>-AD15</f>
        <v>0</v>
      </c>
      <c r="AE40" s="573"/>
      <c r="AF40" s="573"/>
      <c r="AG40" s="573"/>
      <c r="AH40" s="573">
        <f>-AH15</f>
        <v>-336343.02470703126</v>
      </c>
      <c r="AI40" s="573"/>
      <c r="AJ40" s="573"/>
      <c r="AK40" s="573"/>
      <c r="AL40" s="573">
        <f>-AL15</f>
        <v>0</v>
      </c>
      <c r="AM40" s="573"/>
      <c r="AN40" s="573"/>
      <c r="AO40" s="573"/>
      <c r="AP40" s="573">
        <f>-AP15</f>
        <v>0</v>
      </c>
      <c r="AQ40" s="573"/>
      <c r="AR40" s="573"/>
      <c r="AS40" s="573"/>
      <c r="AT40" s="573">
        <f>-AT15</f>
        <v>0</v>
      </c>
      <c r="AU40" s="573"/>
      <c r="AV40" s="573"/>
      <c r="AW40" s="573"/>
      <c r="AX40" s="573">
        <f>-AX15</f>
        <v>0</v>
      </c>
      <c r="AY40" s="573"/>
      <c r="AZ40" s="573"/>
      <c r="BA40" s="573"/>
      <c r="BB40" s="573">
        <f>-BB15</f>
        <v>0</v>
      </c>
      <c r="BC40" s="573"/>
      <c r="BD40" s="573"/>
      <c r="BE40" s="573"/>
      <c r="BF40" s="573">
        <f>-BF15</f>
        <v>0</v>
      </c>
      <c r="BG40" s="573"/>
      <c r="BH40" s="573"/>
      <c r="BI40" s="573"/>
      <c r="BJ40" s="573">
        <f>-BJ15</f>
        <v>0</v>
      </c>
      <c r="BK40" s="573"/>
      <c r="BL40" s="573"/>
      <c r="BM40" s="573"/>
      <c r="BN40" s="573">
        <f>-BN15</f>
        <v>0</v>
      </c>
      <c r="BO40" s="573"/>
      <c r="BP40" s="573"/>
      <c r="BQ40" s="573"/>
      <c r="BR40" s="573">
        <f>-BR15</f>
        <v>0</v>
      </c>
      <c r="BS40" s="573"/>
      <c r="BT40" s="573"/>
      <c r="BU40" s="573"/>
      <c r="BV40" s="573">
        <f>-BV15</f>
        <v>0</v>
      </c>
      <c r="BW40" s="573"/>
      <c r="BX40" s="573"/>
      <c r="BY40" s="573"/>
    </row>
    <row r="41" spans="1:77" ht="4.95" customHeight="1">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row>
    <row r="42" spans="1:77">
      <c r="A42" s="384"/>
      <c r="B42" s="574" t="s">
        <v>1027</v>
      </c>
      <c r="C42" s="574"/>
      <c r="D42" s="574"/>
      <c r="E42" s="574"/>
      <c r="F42" s="574"/>
      <c r="G42" s="574"/>
      <c r="H42" s="574"/>
      <c r="I42" s="574"/>
      <c r="J42" s="574"/>
      <c r="K42" s="574"/>
      <c r="L42" s="574"/>
      <c r="M42" s="574"/>
      <c r="N42" s="571">
        <f>N38+N40</f>
        <v>-2044626.7747070312</v>
      </c>
      <c r="O42" s="571"/>
      <c r="P42" s="571"/>
      <c r="Q42" s="571"/>
      <c r="R42" s="571">
        <f>R38+R40</f>
        <v>364334.49595744163</v>
      </c>
      <c r="S42" s="571"/>
      <c r="T42" s="571"/>
      <c r="U42" s="571"/>
      <c r="V42" s="571">
        <f>V38+V40</f>
        <v>364334.49595744163</v>
      </c>
      <c r="W42" s="571"/>
      <c r="X42" s="571"/>
      <c r="Y42" s="571"/>
      <c r="Z42" s="571">
        <f>Z38+Z40</f>
        <v>364334.49595744163</v>
      </c>
      <c r="AA42" s="571"/>
      <c r="AB42" s="571"/>
      <c r="AC42" s="571"/>
      <c r="AD42" s="571">
        <f>AD38+AD40</f>
        <v>364334.49595744163</v>
      </c>
      <c r="AE42" s="571"/>
      <c r="AF42" s="571"/>
      <c r="AG42" s="571"/>
      <c r="AH42" s="571">
        <f>AH38+AH40</f>
        <v>27991.471250410366</v>
      </c>
      <c r="AI42" s="571"/>
      <c r="AJ42" s="571"/>
      <c r="AK42" s="571"/>
      <c r="AL42" s="571">
        <f>AL38+AL40</f>
        <v>364334.49595744163</v>
      </c>
      <c r="AM42" s="571"/>
      <c r="AN42" s="571"/>
      <c r="AO42" s="571"/>
      <c r="AP42" s="571">
        <f>AP38+AP40</f>
        <v>364334.49595744163</v>
      </c>
      <c r="AQ42" s="571"/>
      <c r="AR42" s="571"/>
      <c r="AS42" s="571"/>
      <c r="AT42" s="571">
        <f>AT38+AT40</f>
        <v>364334.49595744163</v>
      </c>
      <c r="AU42" s="571"/>
      <c r="AV42" s="571"/>
      <c r="AW42" s="571"/>
      <c r="AX42" s="571">
        <f>AX40+AX38</f>
        <v>364334.49595744163</v>
      </c>
      <c r="AY42" s="571"/>
      <c r="AZ42" s="571"/>
      <c r="BA42" s="571"/>
      <c r="BB42" s="571">
        <f>BB40+BB38</f>
        <v>364334.49595744163</v>
      </c>
      <c r="BC42" s="571"/>
      <c r="BD42" s="571"/>
      <c r="BE42" s="571"/>
      <c r="BF42" s="571">
        <f>BF40+BF38</f>
        <v>364334.49595744163</v>
      </c>
      <c r="BG42" s="571"/>
      <c r="BH42" s="571"/>
      <c r="BI42" s="571"/>
      <c r="BJ42" s="571">
        <f>BJ40+BJ38</f>
        <v>364334.49595744163</v>
      </c>
      <c r="BK42" s="571"/>
      <c r="BL42" s="571"/>
      <c r="BM42" s="571"/>
      <c r="BN42" s="571">
        <f>BN40+BN38</f>
        <v>364334.49595744163</v>
      </c>
      <c r="BO42" s="571"/>
      <c r="BP42" s="571"/>
      <c r="BQ42" s="571"/>
      <c r="BR42" s="571">
        <f>BR40+BR38</f>
        <v>364334.49595744163</v>
      </c>
      <c r="BS42" s="571"/>
      <c r="BT42" s="571"/>
      <c r="BU42" s="571"/>
      <c r="BV42" s="571">
        <f>BV40+BV38</f>
        <v>364334.49595744163</v>
      </c>
      <c r="BW42" s="571"/>
      <c r="BX42" s="571"/>
      <c r="BY42" s="571"/>
    </row>
    <row r="43" spans="1:77" ht="4.95" customHeight="1">
      <c r="N43" s="394"/>
      <c r="O43" s="394"/>
      <c r="P43" s="394"/>
      <c r="Q43" s="394"/>
      <c r="R43" s="394"/>
      <c r="S43" s="394"/>
      <c r="T43" s="394"/>
      <c r="U43" s="394"/>
      <c r="V43" s="394"/>
      <c r="W43" s="394"/>
      <c r="X43" s="394"/>
      <c r="Y43" s="394"/>
      <c r="Z43" s="394"/>
      <c r="AA43" s="394"/>
      <c r="AB43" s="394"/>
      <c r="AC43" s="394"/>
      <c r="AD43" s="394"/>
      <c r="AE43" s="394"/>
      <c r="AF43" s="394"/>
      <c r="AG43" s="394"/>
      <c r="AH43" s="394"/>
      <c r="AI43" s="394"/>
      <c r="AJ43" s="394"/>
      <c r="AK43" s="394"/>
      <c r="AL43" s="394"/>
      <c r="AM43" s="394"/>
      <c r="AN43" s="394"/>
      <c r="AO43" s="394"/>
      <c r="AP43" s="394"/>
      <c r="AQ43" s="394"/>
      <c r="AR43" s="394"/>
      <c r="AS43" s="394"/>
      <c r="AT43" s="394"/>
      <c r="AU43" s="394"/>
      <c r="AV43" s="394"/>
      <c r="AW43" s="394"/>
      <c r="AX43" s="394"/>
      <c r="AY43" s="394"/>
      <c r="AZ43" s="394"/>
      <c r="BA43" s="394"/>
      <c r="BB43" s="394"/>
      <c r="BC43" s="394"/>
      <c r="BD43" s="394"/>
      <c r="BE43" s="394"/>
      <c r="BF43" s="394"/>
      <c r="BG43" s="394"/>
      <c r="BH43" s="394"/>
      <c r="BI43" s="394"/>
      <c r="BJ43" s="394"/>
      <c r="BK43" s="394"/>
      <c r="BL43" s="394"/>
      <c r="BM43" s="394"/>
      <c r="BN43" s="394"/>
      <c r="BO43" s="394"/>
      <c r="BP43" s="394"/>
      <c r="BQ43" s="394"/>
      <c r="BR43" s="394"/>
      <c r="BS43" s="394"/>
      <c r="BT43" s="394"/>
      <c r="BU43" s="394"/>
      <c r="BV43" s="394"/>
      <c r="BW43" s="394"/>
      <c r="BX43" s="394"/>
      <c r="BY43" s="394"/>
    </row>
    <row r="44" spans="1:77">
      <c r="A44" s="383"/>
      <c r="B44" s="566" t="s">
        <v>1029</v>
      </c>
      <c r="C44" s="566"/>
      <c r="D44" s="566"/>
      <c r="E44" s="566"/>
      <c r="F44" s="566"/>
      <c r="G44" s="566"/>
      <c r="H44" s="566"/>
      <c r="I44" s="566"/>
      <c r="J44" s="566"/>
      <c r="K44" s="566"/>
      <c r="L44" s="566"/>
      <c r="M44" s="566"/>
      <c r="N44" s="565">
        <f>(N42/((1+$O$48)^N50))</f>
        <v>-2044626.7747070312</v>
      </c>
      <c r="O44" s="565"/>
      <c r="P44" s="565"/>
      <c r="Q44" s="565"/>
      <c r="R44" s="565">
        <f>(R42/((1+$O$48)^R50))</f>
        <v>346292.64894728793</v>
      </c>
      <c r="S44" s="565"/>
      <c r="T44" s="565"/>
      <c r="U44" s="565"/>
      <c r="V44" s="565">
        <f t="shared" ref="V44" si="14">(V42/((1+$O$48)^V50))</f>
        <v>329144.23433826433</v>
      </c>
      <c r="W44" s="565"/>
      <c r="X44" s="565"/>
      <c r="Y44" s="565"/>
      <c r="Z44" s="565">
        <f t="shared" ref="Z44" si="15">(Z42/((1+$O$48)^Z50))</f>
        <v>312845.00935107336</v>
      </c>
      <c r="AA44" s="565"/>
      <c r="AB44" s="565"/>
      <c r="AC44" s="565"/>
      <c r="AD44" s="565">
        <f t="shared" ref="AD44" si="16">(AD42/((1+$O$48)^AD50))</f>
        <v>297352.92210918484</v>
      </c>
      <c r="AE44" s="565"/>
      <c r="AF44" s="565"/>
      <c r="AG44" s="565"/>
      <c r="AH44" s="565">
        <f t="shared" ref="AH44" si="17">(AH42/((1+$O$48)^AH50))</f>
        <v>21714.039467531125</v>
      </c>
      <c r="AI44" s="565"/>
      <c r="AJ44" s="565"/>
      <c r="AK44" s="565"/>
      <c r="AL44" s="565">
        <f t="shared" ref="AL44" si="18">(AL42/((1+$O$48)^AL50))</f>
        <v>268632.26228049991</v>
      </c>
      <c r="AM44" s="565"/>
      <c r="AN44" s="565"/>
      <c r="AO44" s="565"/>
      <c r="AP44" s="565">
        <f t="shared" ref="AP44" si="19">(AP42/((1+$O$48)^AP50))</f>
        <v>255329.59060973278</v>
      </c>
      <c r="AQ44" s="565"/>
      <c r="AR44" s="565"/>
      <c r="AS44" s="565"/>
      <c r="AT44" s="565">
        <f t="shared" ref="AT44" si="20">(AT42/((1+$O$48)^AT50))</f>
        <v>242685.66734125349</v>
      </c>
      <c r="AU44" s="565"/>
      <c r="AV44" s="565"/>
      <c r="AW44" s="565"/>
      <c r="AX44" s="565">
        <f t="shared" ref="AX44" si="21">(AX42/((1+$O$48)^AX50))</f>
        <v>230667.87124917164</v>
      </c>
      <c r="AY44" s="565"/>
      <c r="AZ44" s="565"/>
      <c r="BA44" s="565"/>
      <c r="BB44" s="565">
        <f t="shared" ref="BB44:BV44" si="22">(BB42/((1+$O$48)^BB50))</f>
        <v>219245.19651095106</v>
      </c>
      <c r="BC44" s="565"/>
      <c r="BD44" s="565"/>
      <c r="BE44" s="565"/>
      <c r="BF44" s="565">
        <f t="shared" si="22"/>
        <v>208388.17271262335</v>
      </c>
      <c r="BG44" s="565"/>
      <c r="BH44" s="565"/>
      <c r="BI44" s="565"/>
      <c r="BJ44" s="565">
        <f t="shared" si="22"/>
        <v>198068.78881534396</v>
      </c>
      <c r="BK44" s="565"/>
      <c r="BL44" s="565"/>
      <c r="BM44" s="565"/>
      <c r="BN44" s="565">
        <f t="shared" si="22"/>
        <v>188260.42088712475</v>
      </c>
      <c r="BO44" s="565"/>
      <c r="BP44" s="565"/>
      <c r="BQ44" s="565"/>
      <c r="BR44" s="565">
        <f t="shared" si="22"/>
        <v>178937.76341329221</v>
      </c>
      <c r="BS44" s="565"/>
      <c r="BT44" s="565"/>
      <c r="BU44" s="565"/>
      <c r="BV44" s="565">
        <f t="shared" si="22"/>
        <v>170076.76400845184</v>
      </c>
      <c r="BW44" s="565"/>
      <c r="BX44" s="565"/>
      <c r="BY44" s="565"/>
    </row>
    <row r="45" spans="1:77" ht="4.95" customHeight="1">
      <c r="N45" s="394"/>
      <c r="O45" s="394"/>
      <c r="P45" s="394"/>
      <c r="Q45" s="394"/>
      <c r="R45" s="394"/>
      <c r="S45" s="394"/>
      <c r="T45" s="394"/>
      <c r="U45" s="394"/>
      <c r="V45" s="394"/>
      <c r="W45" s="394"/>
      <c r="X45" s="394"/>
      <c r="Y45" s="394"/>
      <c r="Z45" s="394"/>
      <c r="AA45" s="394"/>
      <c r="AB45" s="394"/>
      <c r="AC45" s="394"/>
      <c r="AD45" s="394"/>
      <c r="AE45" s="394"/>
      <c r="AF45" s="394"/>
      <c r="AG45" s="394"/>
      <c r="AH45" s="394"/>
      <c r="AI45" s="394"/>
      <c r="AJ45" s="394"/>
      <c r="AK45" s="394"/>
      <c r="AL45" s="394"/>
      <c r="AM45" s="394"/>
      <c r="AN45" s="394"/>
      <c r="AO45" s="394"/>
      <c r="AP45" s="394"/>
      <c r="AQ45" s="394"/>
      <c r="AR45" s="394"/>
      <c r="AS45" s="394"/>
      <c r="AT45" s="394"/>
      <c r="AU45" s="394"/>
      <c r="AV45" s="394"/>
      <c r="AW45" s="394"/>
      <c r="AX45" s="394"/>
      <c r="AY45" s="394"/>
      <c r="AZ45" s="394"/>
      <c r="BA45" s="394"/>
      <c r="BB45" s="394"/>
      <c r="BC45" s="394"/>
      <c r="BD45" s="394"/>
      <c r="BE45" s="394"/>
      <c r="BF45" s="394"/>
      <c r="BG45" s="394"/>
      <c r="BH45" s="394"/>
      <c r="BI45" s="394"/>
      <c r="BJ45" s="394"/>
      <c r="BK45" s="394"/>
      <c r="BL45" s="394"/>
      <c r="BM45" s="394"/>
      <c r="BN45" s="394"/>
      <c r="BO45" s="394"/>
      <c r="BP45" s="394"/>
      <c r="BQ45" s="394"/>
      <c r="BR45" s="394"/>
      <c r="BS45" s="394"/>
      <c r="BT45" s="394"/>
      <c r="BU45" s="394"/>
      <c r="BV45" s="394"/>
      <c r="BW45" s="394"/>
      <c r="BX45" s="394"/>
      <c r="BY45" s="394"/>
    </row>
    <row r="46" spans="1:77" hidden="1">
      <c r="A46" s="383"/>
      <c r="B46" s="572" t="s">
        <v>936</v>
      </c>
      <c r="C46" s="572"/>
      <c r="D46" s="572"/>
      <c r="E46" s="572"/>
      <c r="F46" s="572"/>
      <c r="G46" s="572"/>
      <c r="H46" s="572"/>
      <c r="I46" s="572"/>
      <c r="J46" s="572"/>
      <c r="K46" s="572"/>
      <c r="L46" s="572"/>
      <c r="M46" s="572"/>
      <c r="N46" s="397"/>
      <c r="O46" s="397"/>
      <c r="P46" s="397"/>
      <c r="Q46" s="397"/>
      <c r="R46" s="569"/>
      <c r="S46" s="569"/>
      <c r="T46" s="569"/>
      <c r="U46" s="569"/>
      <c r="V46" s="569"/>
      <c r="W46" s="569"/>
      <c r="X46" s="569"/>
      <c r="Y46" s="569"/>
      <c r="Z46" s="569"/>
      <c r="AA46" s="569"/>
      <c r="AB46" s="569"/>
      <c r="AC46" s="569"/>
      <c r="AD46" s="569"/>
      <c r="AE46" s="569"/>
      <c r="AF46" s="569"/>
      <c r="AG46" s="569"/>
      <c r="AH46" s="569"/>
      <c r="AI46" s="569"/>
      <c r="AJ46" s="569"/>
      <c r="AK46" s="569"/>
      <c r="AL46" s="569"/>
      <c r="AM46" s="569"/>
      <c r="AN46" s="569"/>
      <c r="AO46" s="569"/>
      <c r="AP46" s="569"/>
      <c r="AQ46" s="569"/>
      <c r="AR46" s="569"/>
      <c r="AS46" s="569"/>
      <c r="AT46" s="569"/>
      <c r="AU46" s="569"/>
      <c r="AV46" s="569"/>
      <c r="AW46" s="569"/>
      <c r="AX46" s="569"/>
      <c r="AY46" s="569"/>
      <c r="AZ46" s="569"/>
      <c r="BA46" s="569"/>
      <c r="BB46" s="569"/>
      <c r="BC46" s="569"/>
      <c r="BD46" s="569"/>
      <c r="BE46" s="569"/>
      <c r="BF46" s="569"/>
      <c r="BG46" s="569"/>
      <c r="BH46" s="569"/>
      <c r="BI46" s="569"/>
      <c r="BJ46" s="569"/>
      <c r="BK46" s="569"/>
      <c r="BL46" s="569"/>
      <c r="BM46" s="569"/>
      <c r="BN46" s="569"/>
      <c r="BO46" s="569"/>
      <c r="BP46" s="569"/>
      <c r="BQ46" s="569"/>
      <c r="BR46" s="569"/>
      <c r="BS46" s="569"/>
      <c r="BT46" s="569"/>
      <c r="BU46" s="569"/>
      <c r="BV46" s="569"/>
      <c r="BW46" s="569"/>
      <c r="BX46" s="569"/>
      <c r="BY46" s="569"/>
    </row>
    <row r="47" spans="1:77" hidden="1"/>
    <row r="48" spans="1:77">
      <c r="A48" s="383"/>
      <c r="B48" s="566" t="s">
        <v>1014</v>
      </c>
      <c r="C48" s="566"/>
      <c r="D48" s="566"/>
      <c r="E48" s="566"/>
      <c r="F48" s="566"/>
      <c r="G48" s="566"/>
      <c r="H48" s="566"/>
      <c r="I48" s="566"/>
      <c r="J48" s="566"/>
      <c r="K48" s="566"/>
      <c r="L48" s="566"/>
      <c r="M48" s="566"/>
      <c r="N48" s="397"/>
      <c r="O48" s="570">
        <f>'PeriodoAmortizacion '!Q37</f>
        <v>5.2099999999999994E-2</v>
      </c>
      <c r="P48" s="570"/>
      <c r="Q48" s="570"/>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row>
    <row r="49" spans="1:77" ht="6" customHeight="1"/>
    <row r="50" spans="1:77">
      <c r="A50" s="446"/>
      <c r="B50" s="446"/>
      <c r="C50" s="446"/>
      <c r="D50" s="446"/>
      <c r="E50" s="446"/>
      <c r="F50" s="446"/>
      <c r="G50" s="446"/>
      <c r="H50" s="446"/>
      <c r="I50" s="446"/>
      <c r="J50" s="446"/>
      <c r="K50" s="446"/>
      <c r="L50" s="446"/>
      <c r="M50" s="447" t="s">
        <v>1030</v>
      </c>
      <c r="N50" s="567">
        <v>0</v>
      </c>
      <c r="O50" s="567"/>
      <c r="P50" s="567"/>
      <c r="Q50" s="567"/>
      <c r="R50" s="567">
        <v>1</v>
      </c>
      <c r="S50" s="567"/>
      <c r="T50" s="567"/>
      <c r="U50" s="567"/>
      <c r="V50" s="567">
        <v>2</v>
      </c>
      <c r="W50" s="567"/>
      <c r="X50" s="567"/>
      <c r="Y50" s="567"/>
      <c r="Z50" s="567">
        <v>3</v>
      </c>
      <c r="AA50" s="567"/>
      <c r="AB50" s="567"/>
      <c r="AC50" s="567"/>
      <c r="AD50" s="567">
        <v>4</v>
      </c>
      <c r="AE50" s="567"/>
      <c r="AF50" s="567"/>
      <c r="AG50" s="567"/>
      <c r="AH50" s="567">
        <v>5</v>
      </c>
      <c r="AI50" s="567"/>
      <c r="AJ50" s="567"/>
      <c r="AK50" s="567"/>
      <c r="AL50" s="567">
        <v>6</v>
      </c>
      <c r="AM50" s="567"/>
      <c r="AN50" s="567"/>
      <c r="AO50" s="567"/>
      <c r="AP50" s="567">
        <v>7</v>
      </c>
      <c r="AQ50" s="567"/>
      <c r="AR50" s="567"/>
      <c r="AS50" s="567"/>
      <c r="AT50" s="567">
        <v>8</v>
      </c>
      <c r="AU50" s="567"/>
      <c r="AV50" s="567"/>
      <c r="AW50" s="567"/>
      <c r="AX50" s="567">
        <v>9</v>
      </c>
      <c r="AY50" s="567"/>
      <c r="AZ50" s="567"/>
      <c r="BA50" s="567"/>
      <c r="BB50" s="567">
        <v>10</v>
      </c>
      <c r="BC50" s="567"/>
      <c r="BD50" s="567"/>
      <c r="BE50" s="567"/>
      <c r="BF50" s="567">
        <v>11</v>
      </c>
      <c r="BG50" s="567"/>
      <c r="BH50" s="567"/>
      <c r="BI50" s="567"/>
      <c r="BJ50" s="567">
        <v>12</v>
      </c>
      <c r="BK50" s="567"/>
      <c r="BL50" s="567"/>
      <c r="BM50" s="567"/>
      <c r="BN50" s="567">
        <v>13</v>
      </c>
      <c r="BO50" s="567"/>
      <c r="BP50" s="567"/>
      <c r="BQ50" s="567"/>
      <c r="BR50" s="567">
        <v>14</v>
      </c>
      <c r="BS50" s="567"/>
      <c r="BT50" s="567"/>
      <c r="BU50" s="567"/>
      <c r="BV50" s="567">
        <v>15</v>
      </c>
      <c r="BW50" s="567"/>
      <c r="BX50" s="567"/>
      <c r="BY50" s="567"/>
    </row>
    <row r="51" spans="1:77" ht="6" customHeight="1"/>
    <row r="52" spans="1:77" s="388" customFormat="1">
      <c r="A52" s="566" t="s">
        <v>1028</v>
      </c>
      <c r="B52" s="566"/>
      <c r="C52" s="566"/>
      <c r="D52" s="566"/>
      <c r="E52" s="566"/>
      <c r="F52" s="566"/>
      <c r="G52" s="566"/>
      <c r="H52" s="566"/>
      <c r="I52" s="566"/>
      <c r="J52" s="566"/>
      <c r="K52" s="566"/>
      <c r="L52" s="566"/>
      <c r="M52" s="566"/>
      <c r="N52" s="568">
        <f>N42</f>
        <v>-2044626.7747070312</v>
      </c>
      <c r="O52" s="568"/>
      <c r="P52" s="568"/>
      <c r="Q52" s="568"/>
      <c r="R52" s="568">
        <f>N52+R44</f>
        <v>-1698334.1257597432</v>
      </c>
      <c r="S52" s="568"/>
      <c r="T52" s="568"/>
      <c r="U52" s="568"/>
      <c r="V52" s="568">
        <f t="shared" ref="V52" si="23">R52+V44</f>
        <v>-1369189.8914214787</v>
      </c>
      <c r="W52" s="568"/>
      <c r="X52" s="568"/>
      <c r="Y52" s="568"/>
      <c r="Z52" s="568">
        <f t="shared" ref="Z52" si="24">V52+Z44</f>
        <v>-1056344.8820704054</v>
      </c>
      <c r="AA52" s="568"/>
      <c r="AB52" s="568"/>
      <c r="AC52" s="568"/>
      <c r="AD52" s="568">
        <f t="shared" ref="AD52" si="25">Z52+AD44</f>
        <v>-758991.95996122062</v>
      </c>
      <c r="AE52" s="568"/>
      <c r="AF52" s="568"/>
      <c r="AG52" s="568"/>
      <c r="AH52" s="568">
        <f t="shared" ref="AH52" si="26">AD52+AH44</f>
        <v>-737277.92049368948</v>
      </c>
      <c r="AI52" s="568"/>
      <c r="AJ52" s="568"/>
      <c r="AK52" s="568"/>
      <c r="AL52" s="568">
        <f t="shared" ref="AL52" si="27">AH52+AL44</f>
        <v>-468645.65821318957</v>
      </c>
      <c r="AM52" s="568"/>
      <c r="AN52" s="568"/>
      <c r="AO52" s="568"/>
      <c r="AP52" s="568">
        <f t="shared" ref="AP52" si="28">AL52+AP44</f>
        <v>-213316.06760345679</v>
      </c>
      <c r="AQ52" s="568"/>
      <c r="AR52" s="568"/>
      <c r="AS52" s="568"/>
      <c r="AT52" s="568">
        <f t="shared" ref="AT52" si="29">AP52+AT44</f>
        <v>29369.5997377967</v>
      </c>
      <c r="AU52" s="568"/>
      <c r="AV52" s="568"/>
      <c r="AW52" s="568"/>
      <c r="AX52" s="568">
        <f t="shared" ref="AX52" si="30">AT52+AX44</f>
        <v>260037.47098696834</v>
      </c>
      <c r="AY52" s="568"/>
      <c r="AZ52" s="568"/>
      <c r="BA52" s="568"/>
      <c r="BB52" s="568">
        <f t="shared" ref="BB52" si="31">AX52+BB44</f>
        <v>479282.66749791941</v>
      </c>
      <c r="BC52" s="568"/>
      <c r="BD52" s="568"/>
      <c r="BE52" s="568"/>
      <c r="BF52" s="568">
        <f t="shared" ref="BF52" si="32">BB52+BF44</f>
        <v>687670.84021054278</v>
      </c>
      <c r="BG52" s="568"/>
      <c r="BH52" s="568"/>
      <c r="BI52" s="568"/>
      <c r="BJ52" s="568">
        <f t="shared" ref="BJ52" si="33">BF52+BJ44</f>
        <v>885739.62902588677</v>
      </c>
      <c r="BK52" s="568"/>
      <c r="BL52" s="568"/>
      <c r="BM52" s="568"/>
      <c r="BN52" s="568">
        <f t="shared" ref="BN52" si="34">BJ52+BN44</f>
        <v>1074000.0499130115</v>
      </c>
      <c r="BO52" s="568"/>
      <c r="BP52" s="568"/>
      <c r="BQ52" s="568"/>
      <c r="BR52" s="568">
        <f t="shared" ref="BR52" si="35">BN52+BR44</f>
        <v>1252937.8133263036</v>
      </c>
      <c r="BS52" s="568"/>
      <c r="BT52" s="568"/>
      <c r="BU52" s="568"/>
      <c r="BV52" s="568">
        <f t="shared" ref="BV52" si="36">BR52+BV44</f>
        <v>1423014.5773347556</v>
      </c>
      <c r="BW52" s="568"/>
      <c r="BX52" s="568"/>
      <c r="BY52" s="568"/>
    </row>
  </sheetData>
  <mergeCells count="424">
    <mergeCell ref="A1:BY1"/>
    <mergeCell ref="BV52:BY52"/>
    <mergeCell ref="V52:Y52"/>
    <mergeCell ref="Z52:AC52"/>
    <mergeCell ref="AD52:AG52"/>
    <mergeCell ref="AH52:AK52"/>
    <mergeCell ref="AL52:AO52"/>
    <mergeCell ref="AP52:AS52"/>
    <mergeCell ref="AT52:AW52"/>
    <mergeCell ref="AX52:BA52"/>
    <mergeCell ref="BB52:BE52"/>
    <mergeCell ref="BF52:BI52"/>
    <mergeCell ref="BJ52:BM52"/>
    <mergeCell ref="BN52:BQ52"/>
    <mergeCell ref="BR52:BU52"/>
    <mergeCell ref="N52:Q52"/>
    <mergeCell ref="Z13:AC13"/>
    <mergeCell ref="AD13:AG13"/>
    <mergeCell ref="B3:M3"/>
    <mergeCell ref="N3:Q3"/>
    <mergeCell ref="R3:U3"/>
    <mergeCell ref="V3:Y3"/>
    <mergeCell ref="Z3:AC3"/>
    <mergeCell ref="AD3:AG3"/>
    <mergeCell ref="AH3:AK3"/>
    <mergeCell ref="AL3:AO3"/>
    <mergeCell ref="AP3:AS3"/>
    <mergeCell ref="BR3:BU3"/>
    <mergeCell ref="BV3:BY3"/>
    <mergeCell ref="AX3:BA3"/>
    <mergeCell ref="BB3:BE3"/>
    <mergeCell ref="BF3:BI3"/>
    <mergeCell ref="BJ3:BM3"/>
    <mergeCell ref="BN3:BQ3"/>
    <mergeCell ref="AT3:AW3"/>
    <mergeCell ref="AD7:AG7"/>
    <mergeCell ref="Z9:AC9"/>
    <mergeCell ref="A7:A15"/>
    <mergeCell ref="B7:J7"/>
    <mergeCell ref="N7:Q7"/>
    <mergeCell ref="R7:U7"/>
    <mergeCell ref="V7:Y7"/>
    <mergeCell ref="B13:J13"/>
    <mergeCell ref="N13:Q13"/>
    <mergeCell ref="R13:U13"/>
    <mergeCell ref="V13:Y13"/>
    <mergeCell ref="B9:J9"/>
    <mergeCell ref="N9:Q9"/>
    <mergeCell ref="R9:U9"/>
    <mergeCell ref="V9:Y9"/>
    <mergeCell ref="AD9:AG9"/>
    <mergeCell ref="B5:M5"/>
    <mergeCell ref="BR9:BU9"/>
    <mergeCell ref="BV9:BY9"/>
    <mergeCell ref="AH9:AK9"/>
    <mergeCell ref="AL9:AO9"/>
    <mergeCell ref="AP9:AS9"/>
    <mergeCell ref="AT9:AW9"/>
    <mergeCell ref="AX9:BA9"/>
    <mergeCell ref="BB9:BE9"/>
    <mergeCell ref="BF7:BI7"/>
    <mergeCell ref="BJ7:BM7"/>
    <mergeCell ref="BN7:BQ7"/>
    <mergeCell ref="BF9:BI9"/>
    <mergeCell ref="BJ9:BM9"/>
    <mergeCell ref="BN9:BQ9"/>
    <mergeCell ref="BR7:BU7"/>
    <mergeCell ref="BV7:BY7"/>
    <mergeCell ref="AH7:AK7"/>
    <mergeCell ref="AL7:AO7"/>
    <mergeCell ref="AP7:AS7"/>
    <mergeCell ref="AT7:AW7"/>
    <mergeCell ref="AX7:BA7"/>
    <mergeCell ref="BB7:BE7"/>
    <mergeCell ref="Z7:AC7"/>
    <mergeCell ref="BR13:BU13"/>
    <mergeCell ref="BV13:BY13"/>
    <mergeCell ref="B11:J11"/>
    <mergeCell ref="N11:Q11"/>
    <mergeCell ref="R11:U11"/>
    <mergeCell ref="V11:Y11"/>
    <mergeCell ref="Z11:AC11"/>
    <mergeCell ref="AD11:AG11"/>
    <mergeCell ref="BR11:BU11"/>
    <mergeCell ref="BV11:BY11"/>
    <mergeCell ref="AH11:AK11"/>
    <mergeCell ref="AL11:AO11"/>
    <mergeCell ref="AP11:AS11"/>
    <mergeCell ref="AT11:AW11"/>
    <mergeCell ref="AX11:BA11"/>
    <mergeCell ref="BB11:BE11"/>
    <mergeCell ref="BF11:BI11"/>
    <mergeCell ref="BJ11:BM11"/>
    <mergeCell ref="AH13:AK13"/>
    <mergeCell ref="AL13:AO13"/>
    <mergeCell ref="AP13:AS13"/>
    <mergeCell ref="AT13:AW13"/>
    <mergeCell ref="AX13:BA13"/>
    <mergeCell ref="BB13:BE13"/>
    <mergeCell ref="BN11:BQ11"/>
    <mergeCell ref="BF13:BI13"/>
    <mergeCell ref="BJ13:BM13"/>
    <mergeCell ref="BN13:BQ13"/>
    <mergeCell ref="AT15:AW15"/>
    <mergeCell ref="AX15:BA15"/>
    <mergeCell ref="BB15:BE15"/>
    <mergeCell ref="BF15:BI15"/>
    <mergeCell ref="BJ15:BM15"/>
    <mergeCell ref="BN15:BQ15"/>
    <mergeCell ref="BR15:BU15"/>
    <mergeCell ref="BV15:BY15"/>
    <mergeCell ref="A17:A26"/>
    <mergeCell ref="B17:K17"/>
    <mergeCell ref="N17:Q17"/>
    <mergeCell ref="R17:U17"/>
    <mergeCell ref="V17:Y17"/>
    <mergeCell ref="B15:M15"/>
    <mergeCell ref="N15:Q15"/>
    <mergeCell ref="R15:U15"/>
    <mergeCell ref="V15:Y15"/>
    <mergeCell ref="Z15:AC15"/>
    <mergeCell ref="AD15:AG15"/>
    <mergeCell ref="AH15:AK15"/>
    <mergeCell ref="AL15:AO15"/>
    <mergeCell ref="AP15:AS15"/>
    <mergeCell ref="AL17:AO17"/>
    <mergeCell ref="AP17:AS17"/>
    <mergeCell ref="AT17:AW17"/>
    <mergeCell ref="AX17:BA17"/>
    <mergeCell ref="BV18:BY18"/>
    <mergeCell ref="B19:K19"/>
    <mergeCell ref="N19:Q19"/>
    <mergeCell ref="R19:U19"/>
    <mergeCell ref="V19:Y19"/>
    <mergeCell ref="Z19:AC19"/>
    <mergeCell ref="BV17:BY17"/>
    <mergeCell ref="B18:K18"/>
    <mergeCell ref="BB17:BE17"/>
    <mergeCell ref="BF17:BI17"/>
    <mergeCell ref="BJ17:BM17"/>
    <mergeCell ref="BN17:BQ17"/>
    <mergeCell ref="BR17:BU17"/>
    <mergeCell ref="Z17:AC17"/>
    <mergeCell ref="AD17:AG17"/>
    <mergeCell ref="AH17:AK17"/>
    <mergeCell ref="V18:Y18"/>
    <mergeCell ref="AL18:AO18"/>
    <mergeCell ref="N18:Q18"/>
    <mergeCell ref="R18:U18"/>
    <mergeCell ref="Z20:AC20"/>
    <mergeCell ref="BF18:BI18"/>
    <mergeCell ref="BJ18:BM18"/>
    <mergeCell ref="BN18:BQ18"/>
    <mergeCell ref="BN19:BQ19"/>
    <mergeCell ref="BR19:BU19"/>
    <mergeCell ref="BV19:BY19"/>
    <mergeCell ref="BF19:BI19"/>
    <mergeCell ref="BJ19:BM19"/>
    <mergeCell ref="AD19:AG19"/>
    <mergeCell ref="AH19:AK19"/>
    <mergeCell ref="AL19:AO19"/>
    <mergeCell ref="AT18:AW18"/>
    <mergeCell ref="AX18:BA18"/>
    <mergeCell ref="BB18:BE18"/>
    <mergeCell ref="AX19:BA19"/>
    <mergeCell ref="BB19:BE19"/>
    <mergeCell ref="AP18:AS18"/>
    <mergeCell ref="AP19:AS19"/>
    <mergeCell ref="AT19:AW19"/>
    <mergeCell ref="BR18:BU18"/>
    <mergeCell ref="Z18:AC18"/>
    <mergeCell ref="AD18:AG18"/>
    <mergeCell ref="AH18:AK18"/>
    <mergeCell ref="BJ21:BM21"/>
    <mergeCell ref="BN21:BQ21"/>
    <mergeCell ref="BR21:BU21"/>
    <mergeCell ref="BV21:BY21"/>
    <mergeCell ref="AX21:BA21"/>
    <mergeCell ref="BB21:BE21"/>
    <mergeCell ref="AL20:AO20"/>
    <mergeCell ref="AP20:AS20"/>
    <mergeCell ref="AT20:AW20"/>
    <mergeCell ref="AX20:BA20"/>
    <mergeCell ref="BB20:BE20"/>
    <mergeCell ref="BF20:BI20"/>
    <mergeCell ref="BJ20:BM20"/>
    <mergeCell ref="BN20:BQ20"/>
    <mergeCell ref="BR20:BU20"/>
    <mergeCell ref="BV20:BY20"/>
    <mergeCell ref="AH21:AK21"/>
    <mergeCell ref="AL21:AO21"/>
    <mergeCell ref="AP21:AS21"/>
    <mergeCell ref="AT21:AW21"/>
    <mergeCell ref="BB22:BE22"/>
    <mergeCell ref="BF22:BI22"/>
    <mergeCell ref="B20:K20"/>
    <mergeCell ref="B22:K22"/>
    <mergeCell ref="N22:Q22"/>
    <mergeCell ref="R22:U22"/>
    <mergeCell ref="V22:Y22"/>
    <mergeCell ref="Z22:AC22"/>
    <mergeCell ref="BF21:BI21"/>
    <mergeCell ref="B21:K21"/>
    <mergeCell ref="N21:Q21"/>
    <mergeCell ref="R21:U21"/>
    <mergeCell ref="V21:Y21"/>
    <mergeCell ref="Z21:AC21"/>
    <mergeCell ref="AD21:AG21"/>
    <mergeCell ref="AD20:AG20"/>
    <mergeCell ref="AH20:AK20"/>
    <mergeCell ref="N20:Q20"/>
    <mergeCell ref="R20:U20"/>
    <mergeCell ref="V20:Y20"/>
    <mergeCell ref="BJ22:BM22"/>
    <mergeCell ref="BN22:BQ22"/>
    <mergeCell ref="BR22:BU22"/>
    <mergeCell ref="BV22:BY22"/>
    <mergeCell ref="AD22:AG22"/>
    <mergeCell ref="AH22:AK22"/>
    <mergeCell ref="AL22:AO22"/>
    <mergeCell ref="AP22:AS22"/>
    <mergeCell ref="AT22:AW22"/>
    <mergeCell ref="AX22:BA22"/>
    <mergeCell ref="AX24:BA24"/>
    <mergeCell ref="BB24:BE24"/>
    <mergeCell ref="BF24:BI24"/>
    <mergeCell ref="BJ24:BM24"/>
    <mergeCell ref="BN24:BQ24"/>
    <mergeCell ref="BR24:BU24"/>
    <mergeCell ref="BV24:BY24"/>
    <mergeCell ref="N26:Q26"/>
    <mergeCell ref="R26:U26"/>
    <mergeCell ref="V26:Y26"/>
    <mergeCell ref="Z26:AC26"/>
    <mergeCell ref="AD26:AG26"/>
    <mergeCell ref="AH26:AK26"/>
    <mergeCell ref="N24:Q24"/>
    <mergeCell ref="R24:U24"/>
    <mergeCell ref="V24:Y24"/>
    <mergeCell ref="Z24:AC24"/>
    <mergeCell ref="AD24:AG24"/>
    <mergeCell ref="AH24:AK24"/>
    <mergeCell ref="AL24:AO24"/>
    <mergeCell ref="AP24:AS24"/>
    <mergeCell ref="AT24:AW24"/>
    <mergeCell ref="BB26:BE26"/>
    <mergeCell ref="BF26:BI26"/>
    <mergeCell ref="BJ26:BM26"/>
    <mergeCell ref="BN26:BQ26"/>
    <mergeCell ref="BR26:BU26"/>
    <mergeCell ref="BV26:BY26"/>
    <mergeCell ref="B28:M28"/>
    <mergeCell ref="N28:Q28"/>
    <mergeCell ref="R28:U28"/>
    <mergeCell ref="V28:Y28"/>
    <mergeCell ref="Z28:AC28"/>
    <mergeCell ref="AD28:AG28"/>
    <mergeCell ref="BB28:BE28"/>
    <mergeCell ref="B30:M30"/>
    <mergeCell ref="AH28:AK28"/>
    <mergeCell ref="AL28:AO28"/>
    <mergeCell ref="AP28:AS28"/>
    <mergeCell ref="AT28:AW28"/>
    <mergeCell ref="AL26:AO26"/>
    <mergeCell ref="AP26:AS26"/>
    <mergeCell ref="AT26:AW26"/>
    <mergeCell ref="AX26:BA26"/>
    <mergeCell ref="AX28:BA28"/>
    <mergeCell ref="BJ32:BM32"/>
    <mergeCell ref="BN32:BQ32"/>
    <mergeCell ref="BR32:BU32"/>
    <mergeCell ref="BV32:BY32"/>
    <mergeCell ref="BF28:BI28"/>
    <mergeCell ref="BJ28:BM28"/>
    <mergeCell ref="BN28:BQ28"/>
    <mergeCell ref="BR28:BU28"/>
    <mergeCell ref="BV28:BY28"/>
    <mergeCell ref="AX32:BA32"/>
    <mergeCell ref="BB32:BE32"/>
    <mergeCell ref="BF32:BI32"/>
    <mergeCell ref="B34:M34"/>
    <mergeCell ref="N34:Q34"/>
    <mergeCell ref="R34:U34"/>
    <mergeCell ref="V34:Y34"/>
    <mergeCell ref="Z34:AC34"/>
    <mergeCell ref="AD34:AG34"/>
    <mergeCell ref="B36:M36"/>
    <mergeCell ref="AH34:AK34"/>
    <mergeCell ref="AL34:AO34"/>
    <mergeCell ref="AP34:AS34"/>
    <mergeCell ref="AT34:AW34"/>
    <mergeCell ref="N32:Q32"/>
    <mergeCell ref="R32:U32"/>
    <mergeCell ref="V32:Y32"/>
    <mergeCell ref="Z32:AC32"/>
    <mergeCell ref="AD32:AG32"/>
    <mergeCell ref="AH32:AK32"/>
    <mergeCell ref="AL32:AO32"/>
    <mergeCell ref="AP32:AS32"/>
    <mergeCell ref="AT32:AW32"/>
    <mergeCell ref="BN38:BQ38"/>
    <mergeCell ref="BR38:BU38"/>
    <mergeCell ref="BV38:BY38"/>
    <mergeCell ref="AX38:BA38"/>
    <mergeCell ref="BB38:BE38"/>
    <mergeCell ref="BF38:BI38"/>
    <mergeCell ref="BF34:BI34"/>
    <mergeCell ref="BJ34:BM34"/>
    <mergeCell ref="BN34:BQ34"/>
    <mergeCell ref="BR34:BU34"/>
    <mergeCell ref="BV34:BY34"/>
    <mergeCell ref="N38:Q38"/>
    <mergeCell ref="R38:U38"/>
    <mergeCell ref="V38:Y38"/>
    <mergeCell ref="Z38:AC38"/>
    <mergeCell ref="AD38:AG38"/>
    <mergeCell ref="AH38:AK38"/>
    <mergeCell ref="AX34:BA34"/>
    <mergeCell ref="BB34:BE34"/>
    <mergeCell ref="BJ38:BM38"/>
    <mergeCell ref="R40:U40"/>
    <mergeCell ref="V40:Y40"/>
    <mergeCell ref="Z40:AC40"/>
    <mergeCell ref="AD40:AG40"/>
    <mergeCell ref="AH40:AK40"/>
    <mergeCell ref="AH42:AK42"/>
    <mergeCell ref="AL38:AO38"/>
    <mergeCell ref="AP38:AS38"/>
    <mergeCell ref="AT38:AW38"/>
    <mergeCell ref="BV40:BY40"/>
    <mergeCell ref="B42:M42"/>
    <mergeCell ref="N42:Q42"/>
    <mergeCell ref="R42:U42"/>
    <mergeCell ref="V42:Y42"/>
    <mergeCell ref="Z42:AC42"/>
    <mergeCell ref="AD42:AG42"/>
    <mergeCell ref="AL40:AO40"/>
    <mergeCell ref="AP40:AS40"/>
    <mergeCell ref="AT40:AW40"/>
    <mergeCell ref="AL42:AO42"/>
    <mergeCell ref="AP42:AS42"/>
    <mergeCell ref="AT42:AW42"/>
    <mergeCell ref="BJ40:BM40"/>
    <mergeCell ref="BN40:BQ40"/>
    <mergeCell ref="BR40:BU40"/>
    <mergeCell ref="AX40:BA40"/>
    <mergeCell ref="BB40:BE40"/>
    <mergeCell ref="BF40:BI40"/>
    <mergeCell ref="BF42:BI42"/>
    <mergeCell ref="BV42:BY42"/>
    <mergeCell ref="AX42:BA42"/>
    <mergeCell ref="BB42:BE42"/>
    <mergeCell ref="N40:Q40"/>
    <mergeCell ref="BJ42:BM42"/>
    <mergeCell ref="BN42:BQ42"/>
    <mergeCell ref="BR42:BU42"/>
    <mergeCell ref="BR44:BU44"/>
    <mergeCell ref="BV44:BY44"/>
    <mergeCell ref="B46:M46"/>
    <mergeCell ref="R46:U46"/>
    <mergeCell ref="V46:Y46"/>
    <mergeCell ref="Z46:AC46"/>
    <mergeCell ref="AD46:AG46"/>
    <mergeCell ref="BR46:BU46"/>
    <mergeCell ref="BV46:BY46"/>
    <mergeCell ref="AX46:BA46"/>
    <mergeCell ref="BB46:BE46"/>
    <mergeCell ref="N44:Q44"/>
    <mergeCell ref="AL46:AO46"/>
    <mergeCell ref="AP46:AS46"/>
    <mergeCell ref="AT46:AW46"/>
    <mergeCell ref="AH44:AK44"/>
    <mergeCell ref="AL44:AO44"/>
    <mergeCell ref="AP44:AS44"/>
    <mergeCell ref="AT44:AW44"/>
    <mergeCell ref="AX44:BA44"/>
    <mergeCell ref="BB44:BE44"/>
    <mergeCell ref="B44:M44"/>
    <mergeCell ref="R44:U44"/>
    <mergeCell ref="V44:Y44"/>
    <mergeCell ref="Z44:AC44"/>
    <mergeCell ref="AD44:AG44"/>
    <mergeCell ref="AH46:AK46"/>
    <mergeCell ref="BN46:BQ46"/>
    <mergeCell ref="BN48:BQ48"/>
    <mergeCell ref="BF48:BI48"/>
    <mergeCell ref="BJ48:BM48"/>
    <mergeCell ref="O48:Q48"/>
    <mergeCell ref="V50:Y50"/>
    <mergeCell ref="Z50:AC50"/>
    <mergeCell ref="AD50:AG50"/>
    <mergeCell ref="AH50:AK50"/>
    <mergeCell ref="AL50:AO50"/>
    <mergeCell ref="AP50:AS50"/>
    <mergeCell ref="BN44:BQ44"/>
    <mergeCell ref="BB48:BE48"/>
    <mergeCell ref="BF46:BI46"/>
    <mergeCell ref="BJ46:BM46"/>
    <mergeCell ref="BF44:BI44"/>
    <mergeCell ref="BJ44:BM44"/>
    <mergeCell ref="BR48:BU48"/>
    <mergeCell ref="BV48:BY48"/>
    <mergeCell ref="AX48:BA48"/>
    <mergeCell ref="A52:M52"/>
    <mergeCell ref="BR50:BU50"/>
    <mergeCell ref="BV50:BY50"/>
    <mergeCell ref="AT50:AW50"/>
    <mergeCell ref="AX50:BA50"/>
    <mergeCell ref="BB50:BE50"/>
    <mergeCell ref="BF50:BI50"/>
    <mergeCell ref="BJ50:BM50"/>
    <mergeCell ref="BN50:BQ50"/>
    <mergeCell ref="B48:M48"/>
    <mergeCell ref="R48:U48"/>
    <mergeCell ref="N50:Q50"/>
    <mergeCell ref="R52:U52"/>
    <mergeCell ref="AH48:AK48"/>
    <mergeCell ref="AL48:AO48"/>
    <mergeCell ref="AP48:AS48"/>
    <mergeCell ref="AT48:AW48"/>
    <mergeCell ref="V48:Y48"/>
    <mergeCell ref="Z48:AC48"/>
    <mergeCell ref="AD48:AG48"/>
    <mergeCell ref="R50:U50"/>
  </mergeCells>
  <conditionalFormatting sqref="N44:BY44">
    <cfRule type="cellIs" dxfId="37" priority="2" operator="lessThan">
      <formula>0</formula>
    </cfRule>
  </conditionalFormatting>
  <conditionalFormatting sqref="N52:BY52">
    <cfRule type="cellIs" dxfId="36" priority="1" operator="greaterThan">
      <formula>0</formula>
    </cfRule>
    <cfRule type="cellIs" dxfId="35" priority="4" operator="lessThan">
      <formula>0</formula>
    </cfRule>
  </conditionalFormatting>
  <pageMargins left="0.70866141732283472" right="0.70866141732283472" top="0.74803149606299213" bottom="0.74803149606299213" header="0.31496062992125984" footer="0.31496062992125984"/>
  <pageSetup paperSize="8" scale="8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249977111117893"/>
  </sheetPr>
  <dimension ref="A1:G24"/>
  <sheetViews>
    <sheetView showGridLines="0" workbookViewId="0">
      <selection activeCell="H21" sqref="H21"/>
    </sheetView>
  </sheetViews>
  <sheetFormatPr baseColWidth="10" defaultColWidth="11.44140625" defaultRowHeight="13.2"/>
  <cols>
    <col min="1" max="1" width="2.33203125" style="1" customWidth="1"/>
    <col min="2" max="2" width="11.33203125" style="2" customWidth="1"/>
    <col min="3" max="3" width="67.6640625" style="3" customWidth="1"/>
    <col min="4" max="4" width="17" style="2" customWidth="1"/>
    <col min="5" max="5" width="15.6640625" style="4" customWidth="1"/>
    <col min="6" max="6" width="21.5546875" style="1" customWidth="1"/>
    <col min="7" max="16384" width="11.44140625" style="1"/>
  </cols>
  <sheetData>
    <row r="1" spans="1:7" ht="15" customHeight="1">
      <c r="A1" s="21"/>
      <c r="B1" s="867" t="s">
        <v>813</v>
      </c>
      <c r="C1" s="868"/>
      <c r="D1" s="868"/>
      <c r="E1" s="868"/>
      <c r="F1" s="869"/>
      <c r="G1" s="17"/>
    </row>
    <row r="2" spans="1:7" ht="14.4">
      <c r="A2" s="22"/>
      <c r="B2" s="490" t="s">
        <v>548</v>
      </c>
      <c r="C2" s="488" t="s">
        <v>294</v>
      </c>
      <c r="D2" s="488" t="s">
        <v>549</v>
      </c>
      <c r="E2" s="488" t="s">
        <v>814</v>
      </c>
      <c r="F2" s="489" t="s">
        <v>553</v>
      </c>
      <c r="G2" s="18"/>
    </row>
    <row r="3" spans="1:7" ht="15" customHeight="1">
      <c r="A3" s="25"/>
      <c r="B3" s="275"/>
      <c r="C3" s="265" t="s">
        <v>815</v>
      </c>
      <c r="D3" s="265"/>
      <c r="E3" s="265"/>
      <c r="F3" s="277"/>
      <c r="G3" s="19"/>
    </row>
    <row r="4" spans="1:7" ht="15" customHeight="1">
      <c r="A4" s="26"/>
      <c r="B4" s="38">
        <v>18127</v>
      </c>
      <c r="C4" s="6" t="s">
        <v>816</v>
      </c>
      <c r="D4" s="7">
        <v>0.9</v>
      </c>
      <c r="E4" s="8" t="s">
        <v>817</v>
      </c>
      <c r="F4" s="34">
        <f>D4*B4</f>
        <v>16314.300000000001</v>
      </c>
      <c r="G4" s="20"/>
    </row>
    <row r="5" spans="1:7" ht="15" customHeight="1">
      <c r="A5" s="26"/>
      <c r="B5" s="38">
        <v>0</v>
      </c>
      <c r="C5" s="6" t="s">
        <v>818</v>
      </c>
      <c r="D5" s="7">
        <v>1.2</v>
      </c>
      <c r="E5" s="8" t="s">
        <v>817</v>
      </c>
      <c r="F5" s="34">
        <f>D5*B5</f>
        <v>0</v>
      </c>
      <c r="G5" s="20"/>
    </row>
    <row r="6" spans="1:7" ht="15" customHeight="1">
      <c r="A6" s="26"/>
      <c r="B6" s="284"/>
      <c r="C6" s="265" t="s">
        <v>819</v>
      </c>
      <c r="D6" s="265"/>
      <c r="E6" s="265"/>
      <c r="F6" s="277"/>
      <c r="G6" s="20"/>
    </row>
    <row r="7" spans="1:7" ht="15" customHeight="1">
      <c r="A7" s="26"/>
      <c r="B7" s="39">
        <f>1862408/10000-B10</f>
        <v>159.0866</v>
      </c>
      <c r="C7" s="6" t="s">
        <v>820</v>
      </c>
      <c r="D7" s="7">
        <v>102</v>
      </c>
      <c r="E7" s="8" t="s">
        <v>821</v>
      </c>
      <c r="F7" s="34">
        <f>D7*B7</f>
        <v>16226.833200000001</v>
      </c>
      <c r="G7" s="20"/>
    </row>
    <row r="8" spans="1:7" ht="15" customHeight="1">
      <c r="A8" s="26"/>
      <c r="B8" s="39">
        <v>0</v>
      </c>
      <c r="C8" s="6" t="s">
        <v>822</v>
      </c>
      <c r="D8" s="7">
        <v>132</v>
      </c>
      <c r="E8" s="8" t="s">
        <v>821</v>
      </c>
      <c r="F8" s="34">
        <f>D8*B8</f>
        <v>0</v>
      </c>
      <c r="G8" s="20"/>
    </row>
    <row r="9" spans="1:7" ht="15" customHeight="1">
      <c r="B9" s="285"/>
      <c r="C9" s="265" t="s">
        <v>823</v>
      </c>
      <c r="D9" s="265"/>
      <c r="E9" s="265"/>
      <c r="F9" s="277"/>
      <c r="G9" s="20"/>
    </row>
    <row r="10" spans="1:7" ht="15" customHeight="1">
      <c r="B10" s="39">
        <v>27.154199999999999</v>
      </c>
      <c r="C10" s="6" t="s">
        <v>824</v>
      </c>
      <c r="D10" s="7">
        <v>36</v>
      </c>
      <c r="E10" s="8" t="s">
        <v>821</v>
      </c>
      <c r="F10" s="34">
        <f>D10*B10</f>
        <v>977.55119999999999</v>
      </c>
    </row>
    <row r="11" spans="1:7" ht="15" customHeight="1">
      <c r="B11" s="39">
        <v>0</v>
      </c>
      <c r="C11" s="6" t="s">
        <v>825</v>
      </c>
      <c r="D11" s="7">
        <v>42</v>
      </c>
      <c r="E11" s="8" t="s">
        <v>821</v>
      </c>
      <c r="F11" s="34">
        <f>D11*B11</f>
        <v>0</v>
      </c>
    </row>
    <row r="12" spans="1:7" ht="15" customHeight="1">
      <c r="B12" s="285"/>
      <c r="C12" s="265" t="s">
        <v>826</v>
      </c>
      <c r="D12" s="265"/>
      <c r="E12" s="265"/>
      <c r="F12" s="277"/>
    </row>
    <row r="13" spans="1:7" ht="15" customHeight="1">
      <c r="B13" s="39">
        <f>B7</f>
        <v>159.0866</v>
      </c>
      <c r="C13" s="6" t="s">
        <v>827</v>
      </c>
      <c r="D13" s="7">
        <v>12</v>
      </c>
      <c r="E13" s="8" t="s">
        <v>821</v>
      </c>
      <c r="F13" s="34">
        <f>D13*B13</f>
        <v>1909.0392000000002</v>
      </c>
    </row>
    <row r="14" spans="1:7" ht="15" customHeight="1">
      <c r="B14" s="39">
        <v>0</v>
      </c>
      <c r="C14" s="6" t="s">
        <v>828</v>
      </c>
      <c r="D14" s="7">
        <v>18</v>
      </c>
      <c r="E14" s="8" t="s">
        <v>821</v>
      </c>
      <c r="F14" s="34">
        <f>D14*B14</f>
        <v>0</v>
      </c>
    </row>
    <row r="15" spans="1:7" ht="15" customHeight="1">
      <c r="B15" s="285"/>
      <c r="C15" s="265" t="s">
        <v>829</v>
      </c>
      <c r="D15" s="265"/>
      <c r="E15" s="265"/>
      <c r="F15" s="277"/>
    </row>
    <row r="16" spans="1:7" ht="15" customHeight="1">
      <c r="B16" s="39">
        <v>0</v>
      </c>
      <c r="C16" s="6" t="s">
        <v>830</v>
      </c>
      <c r="D16" s="7">
        <v>0.36</v>
      </c>
      <c r="E16" s="8" t="s">
        <v>779</v>
      </c>
      <c r="F16" s="34">
        <f>D16*B16</f>
        <v>0</v>
      </c>
    </row>
    <row r="17" spans="2:7" ht="15" customHeight="1">
      <c r="B17" s="39">
        <v>0</v>
      </c>
      <c r="C17" s="6" t="s">
        <v>831</v>
      </c>
      <c r="D17" s="7">
        <v>0.6</v>
      </c>
      <c r="E17" s="8" t="s">
        <v>779</v>
      </c>
      <c r="F17" s="34">
        <f>D17*B17</f>
        <v>0</v>
      </c>
      <c r="G17" s="3"/>
    </row>
    <row r="18" spans="2:7" ht="15" customHeight="1">
      <c r="B18" s="284"/>
      <c r="C18" s="265" t="s">
        <v>832</v>
      </c>
      <c r="D18" s="265"/>
      <c r="E18" s="265"/>
      <c r="F18" s="277"/>
      <c r="G18" s="3"/>
    </row>
    <row r="19" spans="2:7" ht="15" customHeight="1">
      <c r="B19" s="39">
        <v>42</v>
      </c>
      <c r="C19" s="6" t="s">
        <v>1037</v>
      </c>
      <c r="D19" s="7">
        <v>70</v>
      </c>
      <c r="E19" s="8" t="s">
        <v>779</v>
      </c>
      <c r="F19" s="34">
        <f>D19*B19</f>
        <v>2940</v>
      </c>
      <c r="G19" s="3"/>
    </row>
    <row r="20" spans="2:7" ht="15" customHeight="1">
      <c r="B20" s="39">
        <v>0</v>
      </c>
      <c r="C20" s="6" t="s">
        <v>1038</v>
      </c>
      <c r="D20" s="7">
        <v>120</v>
      </c>
      <c r="E20" s="8" t="s">
        <v>779</v>
      </c>
      <c r="F20" s="34">
        <f>D20*B20</f>
        <v>0</v>
      </c>
      <c r="G20" s="3"/>
    </row>
    <row r="21" spans="2:7" ht="15" customHeight="1">
      <c r="B21" s="270"/>
      <c r="C21" s="286" t="s">
        <v>47</v>
      </c>
      <c r="D21" s="271"/>
      <c r="E21" s="272"/>
      <c r="F21" s="273">
        <f>SUM(F4:F20)</f>
        <v>38367.723600000005</v>
      </c>
      <c r="G21" s="3"/>
    </row>
    <row r="22" spans="2:7" ht="15" customHeight="1">
      <c r="G22" s="3"/>
    </row>
    <row r="23" spans="2:7" ht="15" customHeight="1">
      <c r="G23" s="3"/>
    </row>
    <row r="24" spans="2:7" ht="15" customHeight="1">
      <c r="G24" s="3"/>
    </row>
  </sheetData>
  <mergeCells count="1">
    <mergeCell ref="B1:F1"/>
  </mergeCells>
  <conditionalFormatting sqref="F4:F5 F7:F8 F10:F11 F13:F14 F16:F17">
    <cfRule type="cellIs" dxfId="2" priority="2" operator="equal">
      <formula>0</formula>
    </cfRule>
  </conditionalFormatting>
  <conditionalFormatting sqref="F19:F20">
    <cfRule type="cellIs" dxfId="1" priority="1" operator="equal">
      <formula>0</formula>
    </cfRule>
  </conditionalFormatting>
  <pageMargins left="0.7" right="0.7" top="0.75" bottom="0.75" header="0.3" footer="0.3"/>
  <pageSetup paperSize="9" orientation="landscape" r:id="rId1"/>
  <colBreaks count="1" manualBreakCount="1">
    <brk id="6"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249977111117893"/>
  </sheetPr>
  <dimension ref="A1:G130"/>
  <sheetViews>
    <sheetView showGridLines="0" zoomScale="90" zoomScaleNormal="90" workbookViewId="0">
      <selection activeCell="B1" sqref="B1:F1"/>
    </sheetView>
  </sheetViews>
  <sheetFormatPr baseColWidth="10" defaultColWidth="11.44140625" defaultRowHeight="13.2"/>
  <cols>
    <col min="1" max="1" width="2.33203125" style="1" customWidth="1"/>
    <col min="2" max="2" width="11.33203125" style="2" customWidth="1"/>
    <col min="3" max="3" width="53.44140625" style="3" customWidth="1"/>
    <col min="4" max="4" width="10.44140625" style="2" customWidth="1"/>
    <col min="5" max="5" width="15.6640625" style="4" customWidth="1"/>
    <col min="6" max="6" width="21.6640625" style="1" customWidth="1"/>
    <col min="7" max="16384" width="11.44140625" style="1"/>
  </cols>
  <sheetData>
    <row r="1" spans="1:7" ht="15" customHeight="1">
      <c r="A1" s="21"/>
      <c r="B1" s="867" t="s">
        <v>833</v>
      </c>
      <c r="C1" s="868"/>
      <c r="D1" s="868"/>
      <c r="E1" s="868"/>
      <c r="F1" s="869"/>
      <c r="G1" s="17"/>
    </row>
    <row r="2" spans="1:7" ht="14.4">
      <c r="A2" s="22"/>
      <c r="B2" s="490" t="s">
        <v>548</v>
      </c>
      <c r="C2" s="488" t="s">
        <v>294</v>
      </c>
      <c r="D2" s="488" t="s">
        <v>549</v>
      </c>
      <c r="E2" s="488" t="s">
        <v>814</v>
      </c>
      <c r="F2" s="489" t="s">
        <v>553</v>
      </c>
      <c r="G2" s="18"/>
    </row>
    <row r="3" spans="1:7" ht="15" customHeight="1">
      <c r="A3" s="25"/>
      <c r="B3" s="264"/>
      <c r="C3" s="265" t="s">
        <v>834</v>
      </c>
      <c r="D3" s="265"/>
      <c r="E3" s="265"/>
      <c r="F3" s="277"/>
      <c r="G3" s="19"/>
    </row>
    <row r="4" spans="1:7" ht="15" customHeight="1">
      <c r="A4" s="26"/>
      <c r="B4" s="27"/>
      <c r="C4" s="28" t="s">
        <v>835</v>
      </c>
      <c r="D4" s="29"/>
      <c r="E4" s="30"/>
      <c r="F4" s="31">
        <f>SUM(F6:F19)</f>
        <v>0</v>
      </c>
      <c r="G4" s="20"/>
    </row>
    <row r="5" spans="1:7" ht="15" customHeight="1">
      <c r="A5" s="26"/>
      <c r="B5" s="32"/>
      <c r="C5" s="33" t="s">
        <v>836</v>
      </c>
      <c r="D5" s="7"/>
      <c r="E5" s="8"/>
      <c r="F5" s="34"/>
      <c r="G5" s="20"/>
    </row>
    <row r="6" spans="1:7" ht="15" customHeight="1">
      <c r="A6" s="26"/>
      <c r="B6" s="32"/>
      <c r="C6" s="6" t="s">
        <v>837</v>
      </c>
      <c r="D6" s="7">
        <v>63.34</v>
      </c>
      <c r="E6" s="8" t="s">
        <v>838</v>
      </c>
      <c r="F6" s="34">
        <f t="shared" ref="F6:F11" si="0">D6*B6</f>
        <v>0</v>
      </c>
      <c r="G6" s="20"/>
    </row>
    <row r="7" spans="1:7" ht="15" customHeight="1">
      <c r="A7" s="26"/>
      <c r="B7" s="32"/>
      <c r="C7" s="6" t="s">
        <v>839</v>
      </c>
      <c r="D7" s="7">
        <v>37.11</v>
      </c>
      <c r="E7" s="8" t="s">
        <v>838</v>
      </c>
      <c r="F7" s="34">
        <f t="shared" si="0"/>
        <v>0</v>
      </c>
      <c r="G7" s="20"/>
    </row>
    <row r="8" spans="1:7" ht="15" customHeight="1">
      <c r="A8" s="26"/>
      <c r="B8" s="32"/>
      <c r="C8" s="6" t="s">
        <v>840</v>
      </c>
      <c r="D8" s="7">
        <v>26.53</v>
      </c>
      <c r="E8" s="8" t="s">
        <v>838</v>
      </c>
      <c r="F8" s="34">
        <f t="shared" si="0"/>
        <v>0</v>
      </c>
      <c r="G8" s="20"/>
    </row>
    <row r="9" spans="1:7" ht="15" customHeight="1">
      <c r="A9" s="26"/>
      <c r="B9" s="32"/>
      <c r="C9" s="6" t="s">
        <v>841</v>
      </c>
      <c r="D9" s="7">
        <v>25.92</v>
      </c>
      <c r="E9" s="8" t="s">
        <v>838</v>
      </c>
      <c r="F9" s="34">
        <f t="shared" si="0"/>
        <v>0</v>
      </c>
      <c r="G9" s="20"/>
    </row>
    <row r="10" spans="1:7" ht="15" customHeight="1">
      <c r="A10" s="26"/>
      <c r="B10" s="32"/>
      <c r="C10" s="6" t="s">
        <v>842</v>
      </c>
      <c r="D10" s="7">
        <v>19.71</v>
      </c>
      <c r="E10" s="8" t="s">
        <v>838</v>
      </c>
      <c r="F10" s="34">
        <f t="shared" si="0"/>
        <v>0</v>
      </c>
      <c r="G10" s="20"/>
    </row>
    <row r="11" spans="1:7" ht="15" customHeight="1">
      <c r="A11" s="26"/>
      <c r="B11" s="32"/>
      <c r="C11" s="6" t="s">
        <v>843</v>
      </c>
      <c r="D11" s="7">
        <v>73.209999999999994</v>
      </c>
      <c r="E11" s="8" t="s">
        <v>838</v>
      </c>
      <c r="F11" s="34">
        <f t="shared" si="0"/>
        <v>0</v>
      </c>
      <c r="G11" s="20"/>
    </row>
    <row r="12" spans="1:7" ht="15" customHeight="1">
      <c r="A12" s="26"/>
      <c r="B12" s="32"/>
      <c r="C12" s="33" t="s">
        <v>844</v>
      </c>
      <c r="D12" s="7"/>
      <c r="E12" s="8"/>
      <c r="F12" s="34"/>
      <c r="G12" s="20"/>
    </row>
    <row r="13" spans="1:7" ht="15" customHeight="1">
      <c r="A13" s="26"/>
      <c r="B13" s="32"/>
      <c r="C13" s="6" t="s">
        <v>837</v>
      </c>
      <c r="D13" s="7">
        <v>63.34</v>
      </c>
      <c r="E13" s="8" t="s">
        <v>838</v>
      </c>
      <c r="F13" s="34">
        <f t="shared" ref="F13:F19" si="1">D13*B13</f>
        <v>0</v>
      </c>
      <c r="G13" s="20"/>
    </row>
    <row r="14" spans="1:7" ht="15" customHeight="1">
      <c r="A14" s="26"/>
      <c r="B14" s="32"/>
      <c r="C14" s="6" t="s">
        <v>839</v>
      </c>
      <c r="D14" s="7">
        <v>37.11</v>
      </c>
      <c r="E14" s="8" t="s">
        <v>838</v>
      </c>
      <c r="F14" s="34">
        <f t="shared" si="1"/>
        <v>0</v>
      </c>
      <c r="G14" s="20"/>
    </row>
    <row r="15" spans="1:7" ht="15" customHeight="1">
      <c r="A15" s="26"/>
      <c r="B15" s="32"/>
      <c r="C15" s="6" t="s">
        <v>840</v>
      </c>
      <c r="D15" s="7">
        <v>26.53</v>
      </c>
      <c r="E15" s="8" t="s">
        <v>838</v>
      </c>
      <c r="F15" s="34">
        <f t="shared" si="1"/>
        <v>0</v>
      </c>
      <c r="G15" s="20"/>
    </row>
    <row r="16" spans="1:7" ht="15" customHeight="1">
      <c r="A16" s="26"/>
      <c r="B16" s="32"/>
      <c r="C16" s="6" t="s">
        <v>841</v>
      </c>
      <c r="D16" s="7">
        <v>25.92</v>
      </c>
      <c r="E16" s="8" t="s">
        <v>838</v>
      </c>
      <c r="F16" s="34">
        <f t="shared" si="1"/>
        <v>0</v>
      </c>
      <c r="G16" s="20"/>
    </row>
    <row r="17" spans="1:7" ht="15" customHeight="1">
      <c r="A17" s="26"/>
      <c r="B17" s="32"/>
      <c r="C17" s="6" t="s">
        <v>842</v>
      </c>
      <c r="D17" s="7">
        <v>19.71</v>
      </c>
      <c r="E17" s="8" t="s">
        <v>838</v>
      </c>
      <c r="F17" s="34">
        <f t="shared" si="1"/>
        <v>0</v>
      </c>
      <c r="G17" s="20"/>
    </row>
    <row r="18" spans="1:7" ht="15" customHeight="1">
      <c r="A18" s="26"/>
      <c r="B18" s="32"/>
      <c r="C18" s="6" t="s">
        <v>843</v>
      </c>
      <c r="D18" s="7">
        <v>73.209999999999994</v>
      </c>
      <c r="E18" s="8" t="s">
        <v>838</v>
      </c>
      <c r="F18" s="34">
        <f t="shared" si="1"/>
        <v>0</v>
      </c>
      <c r="G18" s="20"/>
    </row>
    <row r="19" spans="1:7" ht="15" customHeight="1">
      <c r="A19" s="26"/>
      <c r="B19" s="32"/>
      <c r="C19" s="33" t="s">
        <v>845</v>
      </c>
      <c r="D19" s="7"/>
      <c r="E19" s="8"/>
      <c r="F19" s="34">
        <f t="shared" si="1"/>
        <v>0</v>
      </c>
      <c r="G19" s="20"/>
    </row>
    <row r="20" spans="1:7" ht="15" customHeight="1">
      <c r="A20" s="26"/>
      <c r="B20" s="27"/>
      <c r="C20" s="28" t="s">
        <v>846</v>
      </c>
      <c r="D20" s="29"/>
      <c r="E20" s="30"/>
      <c r="F20" s="31">
        <f>SUM(F21:F24)</f>
        <v>13000</v>
      </c>
      <c r="G20" s="20"/>
    </row>
    <row r="21" spans="1:7" ht="15" customHeight="1">
      <c r="A21" s="26"/>
      <c r="B21" s="32"/>
      <c r="C21" s="6" t="s">
        <v>847</v>
      </c>
      <c r="D21" s="7"/>
      <c r="E21" s="8"/>
      <c r="F21" s="34">
        <f>D21*B21</f>
        <v>0</v>
      </c>
      <c r="G21" s="20"/>
    </row>
    <row r="22" spans="1:7" ht="15" customHeight="1">
      <c r="A22" s="26"/>
      <c r="B22" s="32"/>
      <c r="C22" s="6" t="s">
        <v>848</v>
      </c>
      <c r="D22" s="7"/>
      <c r="E22" s="8"/>
      <c r="F22" s="34">
        <v>5000</v>
      </c>
      <c r="G22" s="20"/>
    </row>
    <row r="23" spans="1:7" ht="15" customHeight="1">
      <c r="A23" s="26"/>
      <c r="B23" s="36"/>
      <c r="C23" s="6" t="s">
        <v>849</v>
      </c>
      <c r="D23" s="13"/>
      <c r="E23" s="14"/>
      <c r="F23" s="34">
        <v>8000</v>
      </c>
      <c r="G23" s="20"/>
    </row>
    <row r="24" spans="1:7" ht="15" customHeight="1">
      <c r="A24" s="26"/>
      <c r="B24" s="36"/>
      <c r="C24" s="6" t="s">
        <v>850</v>
      </c>
      <c r="D24" s="13"/>
      <c r="E24" s="14"/>
      <c r="F24" s="34">
        <f>D24*B24</f>
        <v>0</v>
      </c>
      <c r="G24" s="20"/>
    </row>
    <row r="25" spans="1:7" ht="15" customHeight="1">
      <c r="A25" s="26"/>
      <c r="B25" s="287"/>
      <c r="C25" s="265" t="s">
        <v>851</v>
      </c>
      <c r="D25" s="265"/>
      <c r="E25" s="265"/>
      <c r="F25" s="277"/>
      <c r="G25" s="20"/>
    </row>
    <row r="26" spans="1:7" ht="15" customHeight="1">
      <c r="A26" s="26"/>
      <c r="B26" s="27"/>
      <c r="C26" s="28" t="s">
        <v>835</v>
      </c>
      <c r="D26" s="29"/>
      <c r="E26" s="30"/>
      <c r="F26" s="31">
        <f>SUM(F28:F41)</f>
        <v>0</v>
      </c>
      <c r="G26" s="20"/>
    </row>
    <row r="27" spans="1:7" ht="15" customHeight="1">
      <c r="A27" s="26"/>
      <c r="B27" s="32"/>
      <c r="C27" s="33" t="s">
        <v>836</v>
      </c>
      <c r="D27" s="7"/>
      <c r="E27" s="8"/>
      <c r="F27" s="34"/>
      <c r="G27" s="20"/>
    </row>
    <row r="28" spans="1:7" ht="15" customHeight="1">
      <c r="A28" s="26"/>
      <c r="B28" s="32"/>
      <c r="C28" s="6" t="s">
        <v>837</v>
      </c>
      <c r="D28" s="7">
        <v>63.34</v>
      </c>
      <c r="E28" s="8" t="s">
        <v>838</v>
      </c>
      <c r="F28" s="34">
        <f t="shared" ref="F28:F33" si="2">D28*B28</f>
        <v>0</v>
      </c>
      <c r="G28" s="20"/>
    </row>
    <row r="29" spans="1:7" ht="15" customHeight="1">
      <c r="A29" s="26"/>
      <c r="B29" s="32"/>
      <c r="C29" s="6" t="s">
        <v>839</v>
      </c>
      <c r="D29" s="7">
        <v>37.11</v>
      </c>
      <c r="E29" s="8" t="s">
        <v>838</v>
      </c>
      <c r="F29" s="34">
        <f t="shared" si="2"/>
        <v>0</v>
      </c>
      <c r="G29" s="20"/>
    </row>
    <row r="30" spans="1:7" ht="15" customHeight="1">
      <c r="A30" s="26"/>
      <c r="B30" s="32"/>
      <c r="C30" s="6" t="s">
        <v>840</v>
      </c>
      <c r="D30" s="7">
        <v>26.53</v>
      </c>
      <c r="E30" s="8" t="s">
        <v>838</v>
      </c>
      <c r="F30" s="34">
        <f t="shared" si="2"/>
        <v>0</v>
      </c>
      <c r="G30" s="20"/>
    </row>
    <row r="31" spans="1:7" ht="15" customHeight="1">
      <c r="A31" s="26"/>
      <c r="B31" s="32"/>
      <c r="C31" s="6" t="s">
        <v>841</v>
      </c>
      <c r="D31" s="7">
        <v>25.92</v>
      </c>
      <c r="E31" s="8" t="s">
        <v>838</v>
      </c>
      <c r="F31" s="34">
        <f t="shared" si="2"/>
        <v>0</v>
      </c>
      <c r="G31" s="20"/>
    </row>
    <row r="32" spans="1:7" ht="15" customHeight="1">
      <c r="A32" s="26"/>
      <c r="B32" s="32"/>
      <c r="C32" s="6" t="s">
        <v>842</v>
      </c>
      <c r="D32" s="7">
        <v>19.71</v>
      </c>
      <c r="E32" s="8" t="s">
        <v>838</v>
      </c>
      <c r="F32" s="34">
        <f t="shared" si="2"/>
        <v>0</v>
      </c>
      <c r="G32" s="20"/>
    </row>
    <row r="33" spans="1:7" ht="15" customHeight="1">
      <c r="A33" s="26"/>
      <c r="B33" s="32"/>
      <c r="C33" s="6" t="s">
        <v>852</v>
      </c>
      <c r="D33" s="7">
        <v>73.209999999999994</v>
      </c>
      <c r="E33" s="8" t="s">
        <v>838</v>
      </c>
      <c r="F33" s="34">
        <f t="shared" si="2"/>
        <v>0</v>
      </c>
      <c r="G33" s="20"/>
    </row>
    <row r="34" spans="1:7" ht="15" customHeight="1">
      <c r="A34" s="26"/>
      <c r="B34" s="32"/>
      <c r="C34" s="33" t="s">
        <v>844</v>
      </c>
      <c r="D34" s="7"/>
      <c r="E34" s="8"/>
      <c r="F34" s="34"/>
      <c r="G34" s="20"/>
    </row>
    <row r="35" spans="1:7" ht="15" customHeight="1">
      <c r="A35" s="26"/>
      <c r="B35" s="32"/>
      <c r="C35" s="6" t="s">
        <v>837</v>
      </c>
      <c r="D35" s="7">
        <v>63.34</v>
      </c>
      <c r="E35" s="8" t="s">
        <v>838</v>
      </c>
      <c r="F35" s="34">
        <f t="shared" ref="F35:F40" si="3">D35*B35</f>
        <v>0</v>
      </c>
      <c r="G35" s="20"/>
    </row>
    <row r="36" spans="1:7" ht="15" customHeight="1">
      <c r="A36" s="26"/>
      <c r="B36" s="32"/>
      <c r="C36" s="6" t="s">
        <v>839</v>
      </c>
      <c r="D36" s="7">
        <v>37.11</v>
      </c>
      <c r="E36" s="8" t="s">
        <v>838</v>
      </c>
      <c r="F36" s="34">
        <f t="shared" si="3"/>
        <v>0</v>
      </c>
      <c r="G36" s="20"/>
    </row>
    <row r="37" spans="1:7" ht="15" customHeight="1">
      <c r="A37" s="26"/>
      <c r="B37" s="32"/>
      <c r="C37" s="6" t="s">
        <v>840</v>
      </c>
      <c r="D37" s="7">
        <v>26.53</v>
      </c>
      <c r="E37" s="8" t="s">
        <v>838</v>
      </c>
      <c r="F37" s="34">
        <f t="shared" si="3"/>
        <v>0</v>
      </c>
      <c r="G37" s="20"/>
    </row>
    <row r="38" spans="1:7" ht="15" customHeight="1">
      <c r="A38" s="26"/>
      <c r="B38" s="32"/>
      <c r="C38" s="6" t="s">
        <v>841</v>
      </c>
      <c r="D38" s="7">
        <v>25.92</v>
      </c>
      <c r="E38" s="8" t="s">
        <v>838</v>
      </c>
      <c r="F38" s="34">
        <f t="shared" si="3"/>
        <v>0</v>
      </c>
      <c r="G38" s="20"/>
    </row>
    <row r="39" spans="1:7" ht="15" customHeight="1">
      <c r="A39" s="26"/>
      <c r="B39" s="32"/>
      <c r="C39" s="6" t="s">
        <v>842</v>
      </c>
      <c r="D39" s="7">
        <v>19.71</v>
      </c>
      <c r="E39" s="8" t="s">
        <v>838</v>
      </c>
      <c r="F39" s="34">
        <f t="shared" si="3"/>
        <v>0</v>
      </c>
      <c r="G39" s="20"/>
    </row>
    <row r="40" spans="1:7" ht="15" customHeight="1">
      <c r="A40" s="26"/>
      <c r="B40" s="32"/>
      <c r="C40" s="6" t="s">
        <v>852</v>
      </c>
      <c r="D40" s="7">
        <v>73.209999999999994</v>
      </c>
      <c r="E40" s="8" t="s">
        <v>838</v>
      </c>
      <c r="F40" s="34">
        <f t="shared" si="3"/>
        <v>0</v>
      </c>
      <c r="G40" s="20"/>
    </row>
    <row r="41" spans="1:7" ht="15" customHeight="1">
      <c r="A41" s="26"/>
      <c r="B41" s="32"/>
      <c r="C41" s="33" t="s">
        <v>845</v>
      </c>
      <c r="D41" s="7"/>
      <c r="E41" s="8"/>
      <c r="F41" s="35"/>
      <c r="G41" s="20"/>
    </row>
    <row r="42" spans="1:7" ht="15" customHeight="1">
      <c r="A42" s="26"/>
      <c r="B42" s="27"/>
      <c r="C42" s="28" t="s">
        <v>846</v>
      </c>
      <c r="D42" s="29"/>
      <c r="E42" s="30"/>
      <c r="F42" s="31">
        <f>SUM(F43:F45)</f>
        <v>15000</v>
      </c>
      <c r="G42" s="20"/>
    </row>
    <row r="43" spans="1:7" ht="15" customHeight="1">
      <c r="A43" s="26"/>
      <c r="B43" s="32"/>
      <c r="C43" s="6" t="s">
        <v>853</v>
      </c>
      <c r="D43" s="7"/>
      <c r="E43" s="8"/>
      <c r="F43" s="34"/>
      <c r="G43" s="20"/>
    </row>
    <row r="44" spans="1:7" ht="15" customHeight="1">
      <c r="A44" s="26"/>
      <c r="B44" s="32"/>
      <c r="C44" s="6" t="s">
        <v>854</v>
      </c>
      <c r="D44" s="7"/>
      <c r="E44" s="8"/>
      <c r="F44" s="34">
        <v>15000</v>
      </c>
      <c r="G44" s="20"/>
    </row>
    <row r="45" spans="1:7" ht="15" customHeight="1">
      <c r="A45" s="26"/>
      <c r="B45" s="36"/>
      <c r="C45" s="6" t="s">
        <v>855</v>
      </c>
      <c r="D45" s="13"/>
      <c r="E45" s="14"/>
      <c r="F45" s="37"/>
      <c r="G45" s="20"/>
    </row>
    <row r="46" spans="1:7" ht="15" customHeight="1">
      <c r="B46" s="288"/>
      <c r="C46" s="265" t="s">
        <v>856</v>
      </c>
      <c r="D46" s="265"/>
      <c r="E46" s="265"/>
      <c r="F46" s="277"/>
      <c r="G46" s="20"/>
    </row>
    <row r="47" spans="1:7" ht="15" customHeight="1">
      <c r="A47" s="26"/>
      <c r="B47" s="27"/>
      <c r="C47" s="28" t="s">
        <v>835</v>
      </c>
      <c r="D47" s="29"/>
      <c r="E47" s="30"/>
      <c r="F47" s="31">
        <f>SUM(F49:F62)</f>
        <v>0</v>
      </c>
      <c r="G47" s="20"/>
    </row>
    <row r="48" spans="1:7" ht="15" customHeight="1">
      <c r="A48" s="26"/>
      <c r="B48" s="32"/>
      <c r="C48" s="33" t="s">
        <v>836</v>
      </c>
      <c r="D48" s="7"/>
      <c r="E48" s="8"/>
      <c r="F48" s="34"/>
      <c r="G48" s="20"/>
    </row>
    <row r="49" spans="1:7" ht="15" customHeight="1">
      <c r="A49" s="26"/>
      <c r="B49" s="32"/>
      <c r="C49" s="6" t="s">
        <v>837</v>
      </c>
      <c r="D49" s="7">
        <v>63.34</v>
      </c>
      <c r="E49" s="8" t="s">
        <v>838</v>
      </c>
      <c r="F49" s="34">
        <f t="shared" ref="F49:F54" si="4">D49*B49</f>
        <v>0</v>
      </c>
      <c r="G49" s="20"/>
    </row>
    <row r="50" spans="1:7" ht="15" customHeight="1">
      <c r="A50" s="26"/>
      <c r="B50" s="32"/>
      <c r="C50" s="6" t="s">
        <v>839</v>
      </c>
      <c r="D50" s="7">
        <v>37.11</v>
      </c>
      <c r="E50" s="8" t="s">
        <v>838</v>
      </c>
      <c r="F50" s="34">
        <f t="shared" si="4"/>
        <v>0</v>
      </c>
      <c r="G50" s="20"/>
    </row>
    <row r="51" spans="1:7" ht="15" customHeight="1">
      <c r="A51" s="26"/>
      <c r="B51" s="32"/>
      <c r="C51" s="6" t="s">
        <v>840</v>
      </c>
      <c r="D51" s="7">
        <v>26.53</v>
      </c>
      <c r="E51" s="8" t="s">
        <v>838</v>
      </c>
      <c r="F51" s="34">
        <f t="shared" si="4"/>
        <v>0</v>
      </c>
      <c r="G51" s="20"/>
    </row>
    <row r="52" spans="1:7" ht="15" customHeight="1">
      <c r="A52" s="26"/>
      <c r="B52" s="32"/>
      <c r="C52" s="6" t="s">
        <v>841</v>
      </c>
      <c r="D52" s="7">
        <v>25.92</v>
      </c>
      <c r="E52" s="8" t="s">
        <v>838</v>
      </c>
      <c r="F52" s="34">
        <f t="shared" si="4"/>
        <v>0</v>
      </c>
      <c r="G52" s="20"/>
    </row>
    <row r="53" spans="1:7" ht="15" customHeight="1">
      <c r="A53" s="26"/>
      <c r="B53" s="32"/>
      <c r="C53" s="6" t="s">
        <v>842</v>
      </c>
      <c r="D53" s="7">
        <v>19.71</v>
      </c>
      <c r="E53" s="8" t="s">
        <v>838</v>
      </c>
      <c r="F53" s="34">
        <f t="shared" si="4"/>
        <v>0</v>
      </c>
      <c r="G53" s="20"/>
    </row>
    <row r="54" spans="1:7" ht="15" customHeight="1">
      <c r="A54" s="26"/>
      <c r="B54" s="32"/>
      <c r="C54" s="6" t="s">
        <v>852</v>
      </c>
      <c r="D54" s="7">
        <v>73.209999999999994</v>
      </c>
      <c r="E54" s="8" t="s">
        <v>838</v>
      </c>
      <c r="F54" s="34">
        <f t="shared" si="4"/>
        <v>0</v>
      </c>
      <c r="G54" s="20"/>
    </row>
    <row r="55" spans="1:7" ht="15" customHeight="1">
      <c r="A55" s="26"/>
      <c r="B55" s="32"/>
      <c r="C55" s="33" t="s">
        <v>844</v>
      </c>
      <c r="D55" s="7"/>
      <c r="E55" s="8"/>
      <c r="F55" s="34"/>
      <c r="G55" s="20"/>
    </row>
    <row r="56" spans="1:7" ht="15" customHeight="1">
      <c r="A56" s="26"/>
      <c r="B56" s="32"/>
      <c r="C56" s="6" t="s">
        <v>837</v>
      </c>
      <c r="D56" s="7">
        <v>63.34</v>
      </c>
      <c r="E56" s="8" t="s">
        <v>838</v>
      </c>
      <c r="F56" s="34">
        <f t="shared" ref="F56:F61" si="5">D56*B56</f>
        <v>0</v>
      </c>
      <c r="G56" s="20"/>
    </row>
    <row r="57" spans="1:7" ht="15" customHeight="1">
      <c r="A57" s="26"/>
      <c r="B57" s="32"/>
      <c r="C57" s="6" t="s">
        <v>839</v>
      </c>
      <c r="D57" s="7">
        <v>37.11</v>
      </c>
      <c r="E57" s="8" t="s">
        <v>838</v>
      </c>
      <c r="F57" s="34">
        <f t="shared" si="5"/>
        <v>0</v>
      </c>
      <c r="G57" s="20"/>
    </row>
    <row r="58" spans="1:7" ht="15" customHeight="1">
      <c r="A58" s="26"/>
      <c r="B58" s="32"/>
      <c r="C58" s="6" t="s">
        <v>840</v>
      </c>
      <c r="D58" s="7">
        <v>26.53</v>
      </c>
      <c r="E58" s="8" t="s">
        <v>838</v>
      </c>
      <c r="F58" s="34">
        <f t="shared" si="5"/>
        <v>0</v>
      </c>
      <c r="G58" s="20"/>
    </row>
    <row r="59" spans="1:7" ht="15" customHeight="1">
      <c r="A59" s="26"/>
      <c r="B59" s="32"/>
      <c r="C59" s="6" t="s">
        <v>841</v>
      </c>
      <c r="D59" s="7">
        <v>25.92</v>
      </c>
      <c r="E59" s="8" t="s">
        <v>838</v>
      </c>
      <c r="F59" s="34">
        <f t="shared" si="5"/>
        <v>0</v>
      </c>
      <c r="G59" s="20"/>
    </row>
    <row r="60" spans="1:7" ht="15" customHeight="1">
      <c r="A60" s="26"/>
      <c r="B60" s="32"/>
      <c r="C60" s="6" t="s">
        <v>842</v>
      </c>
      <c r="D60" s="7">
        <v>19.71</v>
      </c>
      <c r="E60" s="8" t="s">
        <v>838</v>
      </c>
      <c r="F60" s="34">
        <f t="shared" si="5"/>
        <v>0</v>
      </c>
      <c r="G60" s="20"/>
    </row>
    <row r="61" spans="1:7" ht="15" customHeight="1">
      <c r="A61" s="26"/>
      <c r="B61" s="32"/>
      <c r="C61" s="6" t="s">
        <v>852</v>
      </c>
      <c r="D61" s="7">
        <v>73.209999999999994</v>
      </c>
      <c r="E61" s="8" t="s">
        <v>838</v>
      </c>
      <c r="F61" s="34">
        <f t="shared" si="5"/>
        <v>0</v>
      </c>
      <c r="G61" s="20"/>
    </row>
    <row r="62" spans="1:7" ht="15" customHeight="1">
      <c r="A62" s="26"/>
      <c r="B62" s="32"/>
      <c r="C62" s="33" t="s">
        <v>845</v>
      </c>
      <c r="D62" s="7"/>
      <c r="E62" s="8"/>
      <c r="F62" s="35"/>
      <c r="G62" s="20"/>
    </row>
    <row r="63" spans="1:7" ht="15" customHeight="1">
      <c r="A63" s="26"/>
      <c r="B63" s="27"/>
      <c r="C63" s="28" t="s">
        <v>846</v>
      </c>
      <c r="D63" s="29"/>
      <c r="E63" s="30"/>
      <c r="F63" s="31">
        <f>SUM(F64:F66)</f>
        <v>2500</v>
      </c>
      <c r="G63" s="20"/>
    </row>
    <row r="64" spans="1:7" ht="15" customHeight="1">
      <c r="A64" s="26"/>
      <c r="B64" s="32"/>
      <c r="C64" s="6" t="s">
        <v>857</v>
      </c>
      <c r="D64" s="7"/>
      <c r="E64" s="8"/>
      <c r="F64" s="34"/>
      <c r="G64" s="20"/>
    </row>
    <row r="65" spans="1:7" ht="15" customHeight="1">
      <c r="A65" s="26"/>
      <c r="B65" s="32"/>
      <c r="C65" s="6" t="s">
        <v>858</v>
      </c>
      <c r="D65" s="7"/>
      <c r="E65" s="8"/>
      <c r="F65" s="34">
        <v>2500</v>
      </c>
      <c r="G65" s="20"/>
    </row>
    <row r="66" spans="1:7" ht="15" customHeight="1">
      <c r="A66" s="26"/>
      <c r="B66" s="36"/>
      <c r="C66" s="6" t="s">
        <v>855</v>
      </c>
      <c r="D66" s="13"/>
      <c r="E66" s="14"/>
      <c r="F66" s="37"/>
      <c r="G66" s="20"/>
    </row>
    <row r="67" spans="1:7" ht="15" customHeight="1">
      <c r="B67" s="288"/>
      <c r="C67" s="265" t="s">
        <v>859</v>
      </c>
      <c r="D67" s="265"/>
      <c r="E67" s="265"/>
      <c r="F67" s="277"/>
    </row>
    <row r="68" spans="1:7" ht="15" customHeight="1">
      <c r="A68" s="26"/>
      <c r="B68" s="27"/>
      <c r="C68" s="28" t="s">
        <v>835</v>
      </c>
      <c r="D68" s="29"/>
      <c r="E68" s="30"/>
      <c r="F68" s="31">
        <f>SUM(F70:F83)</f>
        <v>0</v>
      </c>
      <c r="G68" s="20"/>
    </row>
    <row r="69" spans="1:7" ht="15" customHeight="1">
      <c r="A69" s="26"/>
      <c r="B69" s="32"/>
      <c r="C69" s="33" t="s">
        <v>836</v>
      </c>
      <c r="D69" s="7"/>
      <c r="E69" s="8"/>
      <c r="F69" s="34"/>
      <c r="G69" s="20"/>
    </row>
    <row r="70" spans="1:7" ht="15" customHeight="1">
      <c r="A70" s="26"/>
      <c r="B70" s="32"/>
      <c r="C70" s="6" t="s">
        <v>837</v>
      </c>
      <c r="D70" s="7">
        <v>63.34</v>
      </c>
      <c r="E70" s="8" t="s">
        <v>838</v>
      </c>
      <c r="F70" s="34">
        <f t="shared" ref="F70:F75" si="6">D70*B70</f>
        <v>0</v>
      </c>
      <c r="G70" s="20"/>
    </row>
    <row r="71" spans="1:7" ht="15" customHeight="1">
      <c r="A71" s="26"/>
      <c r="B71" s="32"/>
      <c r="C71" s="6" t="s">
        <v>839</v>
      </c>
      <c r="D71" s="7">
        <v>37.11</v>
      </c>
      <c r="E71" s="8" t="s">
        <v>838</v>
      </c>
      <c r="F71" s="34">
        <f t="shared" si="6"/>
        <v>0</v>
      </c>
      <c r="G71" s="20"/>
    </row>
    <row r="72" spans="1:7" ht="15" customHeight="1">
      <c r="A72" s="26"/>
      <c r="B72" s="32"/>
      <c r="C72" s="6" t="s">
        <v>840</v>
      </c>
      <c r="D72" s="7">
        <v>26.53</v>
      </c>
      <c r="E72" s="8" t="s">
        <v>838</v>
      </c>
      <c r="F72" s="34">
        <f t="shared" si="6"/>
        <v>0</v>
      </c>
      <c r="G72" s="20"/>
    </row>
    <row r="73" spans="1:7" ht="15" customHeight="1">
      <c r="A73" s="26"/>
      <c r="B73" s="32"/>
      <c r="C73" s="6" t="s">
        <v>841</v>
      </c>
      <c r="D73" s="7">
        <v>25.92</v>
      </c>
      <c r="E73" s="8" t="s">
        <v>838</v>
      </c>
      <c r="F73" s="34">
        <f t="shared" si="6"/>
        <v>0</v>
      </c>
      <c r="G73" s="20"/>
    </row>
    <row r="74" spans="1:7" ht="15" customHeight="1">
      <c r="A74" s="26"/>
      <c r="B74" s="32"/>
      <c r="C74" s="6" t="s">
        <v>842</v>
      </c>
      <c r="D74" s="7">
        <v>19.71</v>
      </c>
      <c r="E74" s="8" t="s">
        <v>838</v>
      </c>
      <c r="F74" s="34">
        <f t="shared" si="6"/>
        <v>0</v>
      </c>
      <c r="G74" s="20"/>
    </row>
    <row r="75" spans="1:7" ht="15" customHeight="1">
      <c r="A75" s="26"/>
      <c r="B75" s="32"/>
      <c r="C75" s="6" t="s">
        <v>852</v>
      </c>
      <c r="D75" s="7">
        <v>73.209999999999994</v>
      </c>
      <c r="E75" s="8" t="s">
        <v>838</v>
      </c>
      <c r="F75" s="34">
        <f t="shared" si="6"/>
        <v>0</v>
      </c>
      <c r="G75" s="20"/>
    </row>
    <row r="76" spans="1:7" ht="15" customHeight="1">
      <c r="A76" s="26"/>
      <c r="B76" s="32"/>
      <c r="C76" s="33" t="s">
        <v>844</v>
      </c>
      <c r="D76" s="7"/>
      <c r="E76" s="8"/>
      <c r="F76" s="34"/>
      <c r="G76" s="20"/>
    </row>
    <row r="77" spans="1:7" ht="15" customHeight="1">
      <c r="A77" s="26"/>
      <c r="B77" s="32"/>
      <c r="C77" s="6" t="s">
        <v>837</v>
      </c>
      <c r="D77" s="7">
        <v>63.34</v>
      </c>
      <c r="E77" s="8" t="s">
        <v>838</v>
      </c>
      <c r="F77" s="34">
        <f t="shared" ref="F77:F82" si="7">D77*B77</f>
        <v>0</v>
      </c>
      <c r="G77" s="20"/>
    </row>
    <row r="78" spans="1:7" ht="15" customHeight="1">
      <c r="A78" s="26"/>
      <c r="B78" s="32"/>
      <c r="C78" s="6" t="s">
        <v>839</v>
      </c>
      <c r="D78" s="7">
        <v>37.11</v>
      </c>
      <c r="E78" s="8" t="s">
        <v>838</v>
      </c>
      <c r="F78" s="34">
        <f t="shared" si="7"/>
        <v>0</v>
      </c>
      <c r="G78" s="20"/>
    </row>
    <row r="79" spans="1:7" ht="15" customHeight="1">
      <c r="A79" s="26"/>
      <c r="B79" s="32"/>
      <c r="C79" s="6" t="s">
        <v>840</v>
      </c>
      <c r="D79" s="7">
        <v>26.53</v>
      </c>
      <c r="E79" s="8" t="s">
        <v>838</v>
      </c>
      <c r="F79" s="34">
        <f t="shared" si="7"/>
        <v>0</v>
      </c>
      <c r="G79" s="20"/>
    </row>
    <row r="80" spans="1:7" ht="15" customHeight="1">
      <c r="A80" s="26"/>
      <c r="B80" s="32"/>
      <c r="C80" s="6" t="s">
        <v>841</v>
      </c>
      <c r="D80" s="7">
        <v>25.92</v>
      </c>
      <c r="E80" s="8" t="s">
        <v>838</v>
      </c>
      <c r="F80" s="34">
        <f t="shared" si="7"/>
        <v>0</v>
      </c>
      <c r="G80" s="20"/>
    </row>
    <row r="81" spans="1:7" ht="15" customHeight="1">
      <c r="A81" s="26"/>
      <c r="B81" s="32"/>
      <c r="C81" s="6" t="s">
        <v>842</v>
      </c>
      <c r="D81" s="7">
        <v>19.71</v>
      </c>
      <c r="E81" s="8" t="s">
        <v>838</v>
      </c>
      <c r="F81" s="34">
        <f t="shared" si="7"/>
        <v>0</v>
      </c>
      <c r="G81" s="20"/>
    </row>
    <row r="82" spans="1:7" ht="15" customHeight="1">
      <c r="A82" s="26"/>
      <c r="B82" s="32"/>
      <c r="C82" s="6" t="s">
        <v>852</v>
      </c>
      <c r="D82" s="7">
        <v>73.209999999999994</v>
      </c>
      <c r="E82" s="8" t="s">
        <v>838</v>
      </c>
      <c r="F82" s="34">
        <f t="shared" si="7"/>
        <v>0</v>
      </c>
      <c r="G82" s="20"/>
    </row>
    <row r="83" spans="1:7" ht="15" customHeight="1">
      <c r="A83" s="26"/>
      <c r="B83" s="32"/>
      <c r="C83" s="33" t="s">
        <v>845</v>
      </c>
      <c r="D83" s="7"/>
      <c r="E83" s="8"/>
      <c r="F83" s="35"/>
      <c r="G83" s="20"/>
    </row>
    <row r="84" spans="1:7" ht="15" customHeight="1">
      <c r="A84" s="26"/>
      <c r="B84" s="27"/>
      <c r="C84" s="28" t="s">
        <v>846</v>
      </c>
      <c r="D84" s="29"/>
      <c r="E84" s="30"/>
      <c r="F84" s="31">
        <f>SUM(F85:F87)</f>
        <v>10000</v>
      </c>
      <c r="G84" s="20"/>
    </row>
    <row r="85" spans="1:7" ht="15" customHeight="1">
      <c r="A85" s="26"/>
      <c r="B85" s="32"/>
      <c r="C85" s="443" t="s">
        <v>1017</v>
      </c>
      <c r="D85" s="7"/>
      <c r="E85" s="8"/>
      <c r="F85" s="34">
        <v>10000</v>
      </c>
      <c r="G85" s="20"/>
    </row>
    <row r="86" spans="1:7" ht="15" customHeight="1">
      <c r="A86" s="26"/>
      <c r="B86" s="32"/>
      <c r="C86" s="6" t="s">
        <v>861</v>
      </c>
      <c r="D86" s="7"/>
      <c r="E86" s="8"/>
      <c r="F86" s="34"/>
      <c r="G86" s="20"/>
    </row>
    <row r="87" spans="1:7" ht="15" customHeight="1">
      <c r="A87" s="26"/>
      <c r="B87" s="36"/>
      <c r="C87" s="6" t="s">
        <v>855</v>
      </c>
      <c r="D87" s="13"/>
      <c r="E87" s="14"/>
      <c r="F87" s="37"/>
      <c r="G87" s="20"/>
    </row>
    <row r="88" spans="1:7" ht="15" customHeight="1">
      <c r="B88" s="288"/>
      <c r="C88" s="265" t="s">
        <v>862</v>
      </c>
      <c r="D88" s="265"/>
      <c r="E88" s="265"/>
      <c r="F88" s="277"/>
    </row>
    <row r="89" spans="1:7" ht="15" customHeight="1">
      <c r="A89" s="26"/>
      <c r="B89" s="27"/>
      <c r="C89" s="28" t="s">
        <v>835</v>
      </c>
      <c r="D89" s="29"/>
      <c r="E89" s="30"/>
      <c r="F89" s="31">
        <f>SUM(F91:F104)</f>
        <v>0</v>
      </c>
      <c r="G89" s="20"/>
    </row>
    <row r="90" spans="1:7" ht="15" customHeight="1">
      <c r="A90" s="26"/>
      <c r="B90" s="32"/>
      <c r="C90" s="33" t="s">
        <v>836</v>
      </c>
      <c r="D90" s="7"/>
      <c r="E90" s="8"/>
      <c r="F90" s="34"/>
      <c r="G90" s="20"/>
    </row>
    <row r="91" spans="1:7" ht="15" customHeight="1">
      <c r="A91" s="26"/>
      <c r="B91" s="32"/>
      <c r="C91" s="6" t="s">
        <v>837</v>
      </c>
      <c r="D91" s="7">
        <v>63.34</v>
      </c>
      <c r="E91" s="8" t="s">
        <v>838</v>
      </c>
      <c r="F91" s="34">
        <f t="shared" ref="F91:F96" si="8">D91*B91</f>
        <v>0</v>
      </c>
      <c r="G91" s="20"/>
    </row>
    <row r="92" spans="1:7" ht="15" customHeight="1">
      <c r="A92" s="26"/>
      <c r="B92" s="32"/>
      <c r="C92" s="6" t="s">
        <v>839</v>
      </c>
      <c r="D92" s="7">
        <v>37.11</v>
      </c>
      <c r="E92" s="8" t="s">
        <v>838</v>
      </c>
      <c r="F92" s="34">
        <f t="shared" si="8"/>
        <v>0</v>
      </c>
      <c r="G92" s="20"/>
    </row>
    <row r="93" spans="1:7" ht="15" customHeight="1">
      <c r="A93" s="26"/>
      <c r="B93" s="32"/>
      <c r="C93" s="6" t="s">
        <v>840</v>
      </c>
      <c r="D93" s="7">
        <v>26.53</v>
      </c>
      <c r="E93" s="8" t="s">
        <v>838</v>
      </c>
      <c r="F93" s="34">
        <f t="shared" si="8"/>
        <v>0</v>
      </c>
      <c r="G93" s="20"/>
    </row>
    <row r="94" spans="1:7" ht="15" customHeight="1">
      <c r="A94" s="26"/>
      <c r="B94" s="32"/>
      <c r="C94" s="6" t="s">
        <v>841</v>
      </c>
      <c r="D94" s="7">
        <v>25.92</v>
      </c>
      <c r="E94" s="8" t="s">
        <v>838</v>
      </c>
      <c r="F94" s="34">
        <f t="shared" si="8"/>
        <v>0</v>
      </c>
      <c r="G94" s="20"/>
    </row>
    <row r="95" spans="1:7" ht="15" customHeight="1">
      <c r="A95" s="26"/>
      <c r="B95" s="32"/>
      <c r="C95" s="6" t="s">
        <v>842</v>
      </c>
      <c r="D95" s="7">
        <v>19.71</v>
      </c>
      <c r="E95" s="8" t="s">
        <v>838</v>
      </c>
      <c r="F95" s="34">
        <f t="shared" si="8"/>
        <v>0</v>
      </c>
      <c r="G95" s="20"/>
    </row>
    <row r="96" spans="1:7" ht="15" customHeight="1">
      <c r="A96" s="26"/>
      <c r="B96" s="32"/>
      <c r="C96" s="6" t="s">
        <v>852</v>
      </c>
      <c r="D96" s="7">
        <v>73.209999999999994</v>
      </c>
      <c r="E96" s="8" t="s">
        <v>838</v>
      </c>
      <c r="F96" s="34">
        <f t="shared" si="8"/>
        <v>0</v>
      </c>
      <c r="G96" s="20"/>
    </row>
    <row r="97" spans="1:7" ht="15" customHeight="1">
      <c r="A97" s="26"/>
      <c r="B97" s="32"/>
      <c r="C97" s="33" t="s">
        <v>844</v>
      </c>
      <c r="D97" s="7"/>
      <c r="E97" s="8"/>
      <c r="F97" s="34"/>
      <c r="G97" s="20"/>
    </row>
    <row r="98" spans="1:7" ht="15" customHeight="1">
      <c r="A98" s="26"/>
      <c r="B98" s="32"/>
      <c r="C98" s="6" t="s">
        <v>837</v>
      </c>
      <c r="D98" s="7">
        <v>63.34</v>
      </c>
      <c r="E98" s="8" t="s">
        <v>838</v>
      </c>
      <c r="F98" s="34">
        <f t="shared" ref="F98:F103" si="9">D98*B98</f>
        <v>0</v>
      </c>
      <c r="G98" s="20"/>
    </row>
    <row r="99" spans="1:7" ht="15" customHeight="1">
      <c r="A99" s="26"/>
      <c r="B99" s="32"/>
      <c r="C99" s="6" t="s">
        <v>839</v>
      </c>
      <c r="D99" s="7">
        <v>37.11</v>
      </c>
      <c r="E99" s="8" t="s">
        <v>838</v>
      </c>
      <c r="F99" s="34">
        <f t="shared" si="9"/>
        <v>0</v>
      </c>
      <c r="G99" s="20"/>
    </row>
    <row r="100" spans="1:7" ht="15" customHeight="1">
      <c r="A100" s="26"/>
      <c r="B100" s="32"/>
      <c r="C100" s="6" t="s">
        <v>840</v>
      </c>
      <c r="D100" s="7">
        <v>26.53</v>
      </c>
      <c r="E100" s="8" t="s">
        <v>838</v>
      </c>
      <c r="F100" s="34">
        <f t="shared" si="9"/>
        <v>0</v>
      </c>
      <c r="G100" s="20"/>
    </row>
    <row r="101" spans="1:7" ht="15" customHeight="1">
      <c r="A101" s="26"/>
      <c r="B101" s="32"/>
      <c r="C101" s="6" t="s">
        <v>841</v>
      </c>
      <c r="D101" s="7">
        <v>25.92</v>
      </c>
      <c r="E101" s="8" t="s">
        <v>838</v>
      </c>
      <c r="F101" s="34">
        <f t="shared" si="9"/>
        <v>0</v>
      </c>
      <c r="G101" s="20"/>
    </row>
    <row r="102" spans="1:7" ht="15" customHeight="1">
      <c r="A102" s="26"/>
      <c r="B102" s="32"/>
      <c r="C102" s="6" t="s">
        <v>842</v>
      </c>
      <c r="D102" s="7">
        <v>19.71</v>
      </c>
      <c r="E102" s="8" t="s">
        <v>838</v>
      </c>
      <c r="F102" s="34">
        <f t="shared" si="9"/>
        <v>0</v>
      </c>
      <c r="G102" s="20"/>
    </row>
    <row r="103" spans="1:7" ht="15" customHeight="1">
      <c r="A103" s="26"/>
      <c r="B103" s="32"/>
      <c r="C103" s="6" t="s">
        <v>852</v>
      </c>
      <c r="D103" s="7">
        <v>73.209999999999994</v>
      </c>
      <c r="E103" s="8" t="s">
        <v>838</v>
      </c>
      <c r="F103" s="34">
        <f t="shared" si="9"/>
        <v>0</v>
      </c>
      <c r="G103" s="20"/>
    </row>
    <row r="104" spans="1:7" ht="15" customHeight="1">
      <c r="A104" s="26"/>
      <c r="B104" s="32"/>
      <c r="C104" s="33" t="s">
        <v>845</v>
      </c>
      <c r="D104" s="7"/>
      <c r="E104" s="8"/>
      <c r="F104" s="34"/>
      <c r="G104" s="20"/>
    </row>
    <row r="105" spans="1:7" ht="15" customHeight="1">
      <c r="A105" s="26"/>
      <c r="B105" s="27"/>
      <c r="C105" s="28" t="s">
        <v>846</v>
      </c>
      <c r="D105" s="29"/>
      <c r="E105" s="30"/>
      <c r="F105" s="31">
        <f>SUM(F106:F109)</f>
        <v>20000</v>
      </c>
      <c r="G105" s="20"/>
    </row>
    <row r="106" spans="1:7" ht="15" customHeight="1">
      <c r="A106" s="26"/>
      <c r="B106" s="32"/>
      <c r="C106" s="6" t="s">
        <v>860</v>
      </c>
      <c r="D106" s="7"/>
      <c r="E106" s="8"/>
      <c r="F106" s="34"/>
      <c r="G106" s="20"/>
    </row>
    <row r="107" spans="1:7" ht="15" customHeight="1">
      <c r="A107" s="26"/>
      <c r="B107" s="32"/>
      <c r="C107" s="6" t="s">
        <v>861</v>
      </c>
      <c r="D107" s="7"/>
      <c r="E107" s="8"/>
      <c r="F107" s="34"/>
      <c r="G107" s="20"/>
    </row>
    <row r="108" spans="1:7" ht="15" customHeight="1">
      <c r="A108" s="26"/>
      <c r="B108" s="36"/>
      <c r="C108" s="6" t="s">
        <v>863</v>
      </c>
      <c r="D108" s="13"/>
      <c r="E108" s="14"/>
      <c r="F108" s="37">
        <v>20000</v>
      </c>
      <c r="G108" s="20"/>
    </row>
    <row r="109" spans="1:7" ht="15" customHeight="1">
      <c r="A109" s="26"/>
      <c r="B109" s="36"/>
      <c r="C109" s="6" t="s">
        <v>855</v>
      </c>
      <c r="D109" s="13"/>
      <c r="E109" s="14"/>
      <c r="F109" s="37"/>
      <c r="G109" s="20"/>
    </row>
    <row r="110" spans="1:7" ht="15" customHeight="1">
      <c r="B110" s="288"/>
      <c r="C110" s="265" t="s">
        <v>864</v>
      </c>
      <c r="D110" s="265"/>
      <c r="E110" s="265"/>
      <c r="F110" s="277"/>
    </row>
    <row r="111" spans="1:7" ht="15" customHeight="1">
      <c r="A111" s="26"/>
      <c r="B111" s="27"/>
      <c r="C111" s="28" t="s">
        <v>648</v>
      </c>
      <c r="D111" s="29"/>
      <c r="E111" s="30"/>
      <c r="F111" s="31">
        <f>SUM(F113:F126)</f>
        <v>0</v>
      </c>
      <c r="G111" s="20"/>
    </row>
    <row r="112" spans="1:7" ht="15" customHeight="1">
      <c r="A112" s="26"/>
      <c r="B112" s="32"/>
      <c r="C112" s="33" t="s">
        <v>836</v>
      </c>
      <c r="D112" s="7"/>
      <c r="E112" s="8"/>
      <c r="F112" s="34"/>
      <c r="G112" s="20"/>
    </row>
    <row r="113" spans="1:7" ht="15" customHeight="1">
      <c r="A113" s="26"/>
      <c r="B113" s="32"/>
      <c r="C113" s="6" t="s">
        <v>837</v>
      </c>
      <c r="D113" s="7">
        <v>63.34</v>
      </c>
      <c r="E113" s="8" t="s">
        <v>838</v>
      </c>
      <c r="F113" s="34"/>
      <c r="G113" s="20"/>
    </row>
    <row r="114" spans="1:7" ht="15" customHeight="1">
      <c r="A114" s="26"/>
      <c r="B114" s="32"/>
      <c r="C114" s="6" t="s">
        <v>839</v>
      </c>
      <c r="D114" s="7">
        <v>37.11</v>
      </c>
      <c r="E114" s="8" t="s">
        <v>838</v>
      </c>
      <c r="F114" s="34"/>
      <c r="G114" s="20"/>
    </row>
    <row r="115" spans="1:7" ht="15" customHeight="1">
      <c r="A115" s="26"/>
      <c r="B115" s="32"/>
      <c r="C115" s="6" t="s">
        <v>840</v>
      </c>
      <c r="D115" s="7">
        <v>26.53</v>
      </c>
      <c r="E115" s="8" t="s">
        <v>838</v>
      </c>
      <c r="F115" s="34"/>
      <c r="G115" s="20"/>
    </row>
    <row r="116" spans="1:7" ht="15" customHeight="1">
      <c r="A116" s="26"/>
      <c r="B116" s="32"/>
      <c r="C116" s="6" t="s">
        <v>841</v>
      </c>
      <c r="D116" s="7">
        <v>25.92</v>
      </c>
      <c r="E116" s="8" t="s">
        <v>838</v>
      </c>
      <c r="F116" s="34"/>
      <c r="G116" s="20"/>
    </row>
    <row r="117" spans="1:7" ht="15" customHeight="1">
      <c r="A117" s="26"/>
      <c r="B117" s="32"/>
      <c r="C117" s="6" t="s">
        <v>842</v>
      </c>
      <c r="D117" s="7">
        <v>19.71</v>
      </c>
      <c r="E117" s="8" t="s">
        <v>838</v>
      </c>
      <c r="F117" s="34"/>
      <c r="G117" s="20"/>
    </row>
    <row r="118" spans="1:7" ht="15" customHeight="1">
      <c r="A118" s="26"/>
      <c r="B118" s="32"/>
      <c r="C118" s="6" t="s">
        <v>852</v>
      </c>
      <c r="D118" s="7">
        <v>73.209999999999994</v>
      </c>
      <c r="E118" s="8" t="s">
        <v>838</v>
      </c>
      <c r="F118" s="34"/>
      <c r="G118" s="20"/>
    </row>
    <row r="119" spans="1:7" ht="15" customHeight="1">
      <c r="A119" s="26"/>
      <c r="B119" s="32"/>
      <c r="C119" s="33" t="s">
        <v>844</v>
      </c>
      <c r="D119" s="7"/>
      <c r="E119" s="8"/>
      <c r="F119" s="34"/>
      <c r="G119" s="20"/>
    </row>
    <row r="120" spans="1:7" ht="15" customHeight="1">
      <c r="A120" s="26"/>
      <c r="B120" s="32"/>
      <c r="C120" s="6" t="s">
        <v>837</v>
      </c>
      <c r="D120" s="7">
        <v>63.34</v>
      </c>
      <c r="E120" s="8" t="s">
        <v>838</v>
      </c>
      <c r="F120" s="34"/>
      <c r="G120" s="20"/>
    </row>
    <row r="121" spans="1:7" ht="15" customHeight="1">
      <c r="A121" s="26"/>
      <c r="B121" s="32"/>
      <c r="C121" s="6" t="s">
        <v>839</v>
      </c>
      <c r="D121" s="7">
        <v>37.11</v>
      </c>
      <c r="E121" s="8" t="s">
        <v>838</v>
      </c>
      <c r="F121" s="34"/>
      <c r="G121" s="20"/>
    </row>
    <row r="122" spans="1:7" ht="15" customHeight="1">
      <c r="A122" s="26"/>
      <c r="B122" s="32"/>
      <c r="C122" s="6" t="s">
        <v>840</v>
      </c>
      <c r="D122" s="7">
        <v>26.53</v>
      </c>
      <c r="E122" s="8" t="s">
        <v>838</v>
      </c>
      <c r="F122" s="34"/>
      <c r="G122" s="20"/>
    </row>
    <row r="123" spans="1:7" ht="15" customHeight="1">
      <c r="A123" s="26"/>
      <c r="B123" s="32"/>
      <c r="C123" s="6" t="s">
        <v>841</v>
      </c>
      <c r="D123" s="7">
        <v>25.92</v>
      </c>
      <c r="E123" s="8" t="s">
        <v>838</v>
      </c>
      <c r="F123" s="34"/>
      <c r="G123" s="20"/>
    </row>
    <row r="124" spans="1:7" ht="15" customHeight="1">
      <c r="A124" s="26"/>
      <c r="B124" s="32"/>
      <c r="C124" s="6" t="s">
        <v>842</v>
      </c>
      <c r="D124" s="7">
        <v>19.71</v>
      </c>
      <c r="E124" s="8" t="s">
        <v>838</v>
      </c>
      <c r="F124" s="34"/>
      <c r="G124" s="20"/>
    </row>
    <row r="125" spans="1:7" ht="15" customHeight="1">
      <c r="A125" s="26"/>
      <c r="B125" s="32"/>
      <c r="C125" s="6" t="s">
        <v>852</v>
      </c>
      <c r="D125" s="7">
        <v>73.209999999999994</v>
      </c>
      <c r="E125" s="8" t="s">
        <v>838</v>
      </c>
      <c r="F125" s="34"/>
      <c r="G125" s="20"/>
    </row>
    <row r="126" spans="1:7" ht="15" hidden="1" customHeight="1">
      <c r="A126" s="26"/>
      <c r="B126" s="32"/>
      <c r="C126" s="33" t="s">
        <v>845</v>
      </c>
      <c r="D126" s="7"/>
      <c r="E126" s="8"/>
      <c r="F126" s="34"/>
      <c r="G126" s="20"/>
    </row>
    <row r="127" spans="1:7" ht="15" customHeight="1">
      <c r="B127" s="477"/>
      <c r="C127" s="497" t="s">
        <v>47</v>
      </c>
      <c r="D127" s="478"/>
      <c r="E127" s="479"/>
      <c r="F127" s="483">
        <f>F111+F105+F89+F84+F68+F63+F47+F42+F26+F20+F4</f>
        <v>60500</v>
      </c>
      <c r="G127" s="3"/>
    </row>
    <row r="128" spans="1:7" ht="15" customHeight="1">
      <c r="G128" s="3"/>
    </row>
    <row r="129" spans="7:7" ht="15" customHeight="1">
      <c r="G129" s="3"/>
    </row>
    <row r="130" spans="7:7" ht="15" customHeight="1">
      <c r="G130" s="3"/>
    </row>
  </sheetData>
  <mergeCells count="1">
    <mergeCell ref="B1:F1"/>
  </mergeCells>
  <conditionalFormatting sqref="F6:F19 F21:F24 F28:F40 F43:F45 F49:F61 F64:F66 F70:F83 F85:F87 F91:F103 F112:F125">
    <cfRule type="cellIs" dxfId="0" priority="1" operator="equal">
      <formula>0</formula>
    </cfRule>
  </conditionalFormatting>
  <pageMargins left="0.70866141732283505" right="0.70866141732283505" top="0.74803149606299202" bottom="0.74803149606299202" header="0.31496062992126" footer="0.31496062992126"/>
  <pageSetup paperSize="9" scale="73" orientation="portrait" r:id="rId1"/>
  <rowBreaks count="1" manualBreakCount="1">
    <brk id="66" max="5" man="1"/>
  </rowBreaks>
  <colBreaks count="1" manualBreakCount="1">
    <brk id="6" max="1048575" man="1"/>
  </colBreaks>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249977111117893"/>
  </sheetPr>
  <dimension ref="B1:I16"/>
  <sheetViews>
    <sheetView showGridLines="0" workbookViewId="0">
      <selection activeCell="B1" sqref="B1:H1"/>
    </sheetView>
  </sheetViews>
  <sheetFormatPr baseColWidth="10" defaultColWidth="11.44140625" defaultRowHeight="13.2"/>
  <cols>
    <col min="1" max="1" width="2.33203125" style="1" customWidth="1"/>
    <col min="2" max="2" width="11.33203125" style="2" customWidth="1"/>
    <col min="3" max="3" width="62.88671875" style="3" customWidth="1"/>
    <col min="4" max="4" width="14.109375" style="2" customWidth="1"/>
    <col min="5" max="5" width="15.6640625" style="4" customWidth="1"/>
    <col min="6" max="6" width="11.44140625" style="1"/>
    <col min="7" max="7" width="15" style="1" customWidth="1"/>
    <col min="8" max="8" width="19.5546875" style="1" customWidth="1"/>
    <col min="9" max="16384" width="11.44140625" style="1"/>
  </cols>
  <sheetData>
    <row r="1" spans="2:9" ht="15" customHeight="1">
      <c r="B1" s="889" t="s">
        <v>794</v>
      </c>
      <c r="C1" s="889"/>
      <c r="D1" s="889"/>
      <c r="E1" s="889"/>
      <c r="F1" s="889"/>
      <c r="G1" s="889"/>
      <c r="H1" s="890"/>
      <c r="I1" s="17"/>
    </row>
    <row r="2" spans="2:9" ht="43.2">
      <c r="B2" s="496" t="s">
        <v>548</v>
      </c>
      <c r="C2" s="488" t="s">
        <v>294</v>
      </c>
      <c r="D2" s="488" t="s">
        <v>549</v>
      </c>
      <c r="E2" s="488" t="s">
        <v>550</v>
      </c>
      <c r="F2" s="488" t="s">
        <v>551</v>
      </c>
      <c r="G2" s="488" t="s">
        <v>552</v>
      </c>
      <c r="H2" s="488" t="s">
        <v>553</v>
      </c>
      <c r="I2" s="18"/>
    </row>
    <row r="3" spans="2:9" ht="15" customHeight="1">
      <c r="B3" s="265"/>
      <c r="C3" s="265" t="s">
        <v>865</v>
      </c>
      <c r="D3" s="265"/>
      <c r="E3" s="265"/>
      <c r="F3" s="265"/>
      <c r="G3" s="265"/>
      <c r="H3" s="265"/>
      <c r="I3" s="19"/>
    </row>
    <row r="4" spans="2:9" ht="15" customHeight="1">
      <c r="B4" s="6"/>
      <c r="C4" s="6"/>
      <c r="D4" s="7"/>
      <c r="E4" s="8">
        <v>4</v>
      </c>
      <c r="F4" s="7">
        <f>D4/E4</f>
        <v>0</v>
      </c>
      <c r="G4" s="9"/>
      <c r="H4" s="7">
        <f>B4*F4</f>
        <v>0</v>
      </c>
      <c r="I4" s="20"/>
    </row>
    <row r="5" spans="2:9" ht="15" customHeight="1">
      <c r="B5" s="6"/>
      <c r="C5" s="6"/>
      <c r="D5" s="7"/>
      <c r="E5" s="8">
        <v>4</v>
      </c>
      <c r="F5" s="7">
        <f>D5/E5</f>
        <v>0</v>
      </c>
      <c r="G5" s="9"/>
      <c r="H5" s="7">
        <f>B5*F5</f>
        <v>0</v>
      </c>
      <c r="I5" s="20"/>
    </row>
    <row r="6" spans="2:9" ht="15" customHeight="1">
      <c r="B6" s="265"/>
      <c r="C6" s="265" t="s">
        <v>866</v>
      </c>
      <c r="D6" s="265"/>
      <c r="E6" s="265"/>
      <c r="F6" s="265"/>
      <c r="G6" s="265"/>
      <c r="H6" s="265"/>
      <c r="I6" s="20"/>
    </row>
    <row r="7" spans="2:9" ht="15" customHeight="1">
      <c r="B7" s="10">
        <v>1</v>
      </c>
      <c r="C7" s="6" t="s">
        <v>867</v>
      </c>
      <c r="D7" s="7"/>
      <c r="E7" s="8">
        <v>1</v>
      </c>
      <c r="F7" s="7">
        <f>D7/E7</f>
        <v>0</v>
      </c>
      <c r="G7" s="9"/>
      <c r="H7" s="11">
        <v>12000</v>
      </c>
      <c r="I7" s="20"/>
    </row>
    <row r="8" spans="2:9" ht="15" customHeight="1">
      <c r="B8" s="12"/>
      <c r="C8" s="12"/>
      <c r="D8" s="13"/>
      <c r="E8" s="14"/>
      <c r="F8" s="13"/>
      <c r="G8" s="12"/>
      <c r="H8" s="13"/>
      <c r="I8" s="20"/>
    </row>
    <row r="9" spans="2:9" ht="15" customHeight="1">
      <c r="B9" s="265"/>
      <c r="C9" s="265" t="s">
        <v>648</v>
      </c>
      <c r="D9" s="265"/>
      <c r="E9" s="265"/>
      <c r="F9" s="265"/>
      <c r="G9" s="265"/>
      <c r="H9" s="265"/>
    </row>
    <row r="10" spans="2:9" ht="15" customHeight="1">
      <c r="B10" s="10">
        <v>1</v>
      </c>
      <c r="C10" s="6" t="s">
        <v>868</v>
      </c>
      <c r="D10" s="7"/>
      <c r="E10" s="8">
        <v>1</v>
      </c>
      <c r="F10" s="7">
        <f>D10/E10</f>
        <v>0</v>
      </c>
      <c r="G10" s="9"/>
      <c r="H10" s="11">
        <v>30000</v>
      </c>
    </row>
    <row r="11" spans="2:9" ht="15" customHeight="1">
      <c r="B11" s="15">
        <v>10</v>
      </c>
      <c r="C11" s="12" t="s">
        <v>869</v>
      </c>
      <c r="D11" s="13">
        <f>19.75*5*7+25</f>
        <v>716.25</v>
      </c>
      <c r="E11" s="14">
        <v>1</v>
      </c>
      <c r="F11" s="13"/>
      <c r="G11" s="12"/>
      <c r="H11" s="16">
        <f>D11*B11</f>
        <v>7162.5</v>
      </c>
    </row>
    <row r="12" spans="2:9" ht="15" customHeight="1">
      <c r="B12" s="15"/>
      <c r="C12" s="12"/>
      <c r="D12" s="13"/>
      <c r="E12" s="14"/>
      <c r="F12" s="13"/>
      <c r="G12" s="12"/>
      <c r="H12" s="16"/>
    </row>
    <row r="13" spans="2:9" ht="15" customHeight="1">
      <c r="B13" s="15"/>
      <c r="C13" s="12"/>
      <c r="D13" s="13"/>
      <c r="E13" s="14"/>
      <c r="F13" s="13"/>
      <c r="G13" s="12"/>
      <c r="H13" s="16"/>
    </row>
    <row r="14" spans="2:9" ht="15" customHeight="1">
      <c r="B14" s="15"/>
      <c r="C14" s="12"/>
      <c r="D14" s="13"/>
      <c r="E14" s="14"/>
      <c r="F14" s="13"/>
      <c r="G14" s="12"/>
      <c r="H14" s="16"/>
    </row>
    <row r="15" spans="2:9" ht="15" customHeight="1">
      <c r="B15" s="15"/>
      <c r="C15" s="12"/>
      <c r="D15" s="13"/>
      <c r="E15" s="14"/>
      <c r="F15" s="13"/>
      <c r="G15" s="12"/>
      <c r="H15" s="16"/>
    </row>
    <row r="16" spans="2:9" ht="15" customHeight="1">
      <c r="B16" s="492"/>
      <c r="C16" s="214"/>
      <c r="D16" s="214"/>
      <c r="E16" s="492"/>
      <c r="F16" s="493" t="s">
        <v>47</v>
      </c>
      <c r="G16" s="493"/>
      <c r="H16" s="495">
        <f>SUM(H4:H15)</f>
        <v>49162.5</v>
      </c>
    </row>
  </sheetData>
  <mergeCells count="1">
    <mergeCell ref="B1:H1"/>
  </mergeCells>
  <pageMargins left="0.7" right="0.7" top="0.75" bottom="0.75" header="0.3" footer="0.3"/>
  <pageSetup paperSize="9" scale="91" orientation="landscape" r:id="rId1"/>
  <colBreaks count="1" manualBreakCount="1">
    <brk id="8" max="17"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AS527"/>
  <sheetViews>
    <sheetView showGridLines="0" zoomScaleNormal="100" workbookViewId="0">
      <selection activeCell="F24" sqref="F24"/>
    </sheetView>
  </sheetViews>
  <sheetFormatPr baseColWidth="10" defaultColWidth="11.44140625" defaultRowHeight="14.4"/>
  <cols>
    <col min="1" max="1" width="5.33203125" style="46" customWidth="1"/>
    <col min="2" max="10" width="3.33203125" style="48" customWidth="1"/>
    <col min="11" max="11" width="47.6640625" style="48" customWidth="1"/>
    <col min="12" max="14" width="3.33203125" style="48" hidden="1" customWidth="1"/>
    <col min="15" max="16" width="2.33203125" style="48" hidden="1" customWidth="1"/>
    <col min="17" max="18" width="3.33203125" style="48" hidden="1" customWidth="1"/>
    <col min="19" max="19" width="2.33203125" style="48" hidden="1" customWidth="1"/>
    <col min="20" max="20" width="3.109375" style="48" hidden="1" customWidth="1"/>
    <col min="21" max="21" width="3.33203125" style="48" customWidth="1"/>
    <col min="22" max="22" width="5.33203125" style="48" customWidth="1"/>
    <col min="23" max="24" width="11.44140625" style="48"/>
    <col min="25" max="45" width="3.6640625" style="48" customWidth="1"/>
    <col min="46" max="16384" width="11.44140625" style="48"/>
  </cols>
  <sheetData>
    <row r="1" spans="2:45" ht="15" customHeight="1">
      <c r="B1" s="591" t="s">
        <v>948</v>
      </c>
      <c r="C1" s="563"/>
      <c r="D1" s="563"/>
      <c r="E1" s="563"/>
      <c r="F1" s="563"/>
      <c r="G1" s="563"/>
      <c r="H1" s="563"/>
      <c r="I1" s="563"/>
      <c r="J1" s="563"/>
      <c r="K1" s="563"/>
      <c r="L1" s="563"/>
      <c r="M1" s="563"/>
      <c r="N1" s="563"/>
      <c r="O1" s="563"/>
      <c r="P1" s="563"/>
      <c r="Q1" s="563"/>
      <c r="R1" s="563"/>
      <c r="S1" s="563"/>
      <c r="T1" s="563"/>
      <c r="U1" s="563"/>
      <c r="V1" s="563"/>
      <c r="Y1" s="591" t="s">
        <v>979</v>
      </c>
      <c r="Z1" s="563"/>
      <c r="AA1" s="563"/>
      <c r="AB1" s="563"/>
      <c r="AC1" s="563"/>
      <c r="AD1" s="563"/>
      <c r="AE1" s="563"/>
      <c r="AF1" s="563"/>
      <c r="AG1" s="563"/>
      <c r="AH1" s="563"/>
      <c r="AI1" s="563"/>
      <c r="AJ1" s="563"/>
      <c r="AK1" s="563"/>
      <c r="AL1" s="563"/>
      <c r="AM1" s="563"/>
      <c r="AN1" s="563"/>
      <c r="AO1" s="563"/>
      <c r="AP1" s="563"/>
      <c r="AQ1" s="563"/>
      <c r="AR1" s="563"/>
      <c r="AS1" s="563"/>
    </row>
    <row r="2" spans="2:45" ht="3.75" customHeight="1">
      <c r="B2" s="50"/>
      <c r="C2" s="50"/>
      <c r="D2" s="50"/>
      <c r="E2" s="50"/>
      <c r="F2" s="50"/>
      <c r="G2" s="50"/>
      <c r="H2" s="50"/>
      <c r="I2" s="50"/>
      <c r="J2" s="50"/>
      <c r="K2" s="50"/>
      <c r="L2" s="50"/>
      <c r="M2" s="50"/>
      <c r="N2" s="50"/>
      <c r="O2" s="50"/>
      <c r="P2" s="50"/>
      <c r="Q2" s="50"/>
      <c r="R2" s="50"/>
      <c r="S2" s="50"/>
      <c r="T2" s="50"/>
      <c r="U2" s="50"/>
      <c r="V2" s="50"/>
      <c r="Y2" s="50"/>
      <c r="Z2" s="50"/>
      <c r="AA2" s="50"/>
      <c r="AB2" s="50"/>
      <c r="AC2" s="50"/>
      <c r="AD2" s="50"/>
      <c r="AE2" s="50"/>
      <c r="AF2" s="50"/>
      <c r="AG2" s="50"/>
      <c r="AH2" s="50"/>
      <c r="AI2" s="50"/>
      <c r="AJ2" s="50"/>
      <c r="AK2" s="50"/>
      <c r="AL2" s="50"/>
      <c r="AM2" s="50"/>
      <c r="AN2" s="50"/>
      <c r="AO2" s="50"/>
      <c r="AP2" s="50"/>
      <c r="AQ2" s="50"/>
      <c r="AR2" s="50"/>
      <c r="AS2" s="50"/>
    </row>
    <row r="3" spans="2:45" ht="15" customHeight="1">
      <c r="B3" s="241"/>
      <c r="C3" s="241"/>
      <c r="D3" s="241"/>
      <c r="E3" s="241"/>
      <c r="F3" s="241"/>
      <c r="G3" s="241"/>
      <c r="H3" s="241"/>
      <c r="I3" s="241"/>
      <c r="J3" s="241"/>
      <c r="K3" s="241"/>
      <c r="L3" s="601" t="s">
        <v>940</v>
      </c>
      <c r="M3" s="601"/>
      <c r="N3" s="601"/>
      <c r="O3" s="601"/>
      <c r="P3" s="601"/>
      <c r="Q3" s="601"/>
      <c r="R3" s="601"/>
      <c r="S3" s="601"/>
      <c r="T3" s="601"/>
      <c r="U3" s="602" t="s">
        <v>949</v>
      </c>
      <c r="V3" s="550"/>
      <c r="Y3" s="241"/>
      <c r="Z3" s="241"/>
      <c r="AA3" s="241"/>
      <c r="AB3" s="241"/>
      <c r="AC3" s="241"/>
      <c r="AD3" s="241"/>
      <c r="AE3" s="241"/>
      <c r="AF3" s="241"/>
      <c r="AG3" s="241"/>
      <c r="AH3" s="241"/>
      <c r="AI3" s="606" t="s">
        <v>983</v>
      </c>
      <c r="AJ3" s="606"/>
      <c r="AK3" s="606"/>
      <c r="AL3" s="606"/>
      <c r="AM3" s="401"/>
      <c r="AN3" s="608" t="s">
        <v>981</v>
      </c>
      <c r="AO3" s="608"/>
      <c r="AP3" s="608"/>
      <c r="AQ3" s="608"/>
      <c r="AR3" s="608"/>
      <c r="AS3" s="608"/>
    </row>
    <row r="4" spans="2:45" ht="4.95" customHeight="1">
      <c r="L4" s="409"/>
      <c r="M4" s="409"/>
      <c r="N4" s="409"/>
      <c r="O4" s="409"/>
      <c r="P4" s="409"/>
      <c r="Q4" s="409"/>
      <c r="R4" s="409"/>
      <c r="S4" s="409"/>
      <c r="T4" s="409"/>
      <c r="U4" s="410"/>
      <c r="V4" s="411"/>
      <c r="AI4" s="409"/>
      <c r="AJ4" s="409"/>
      <c r="AK4" s="409"/>
      <c r="AL4" s="409"/>
      <c r="AM4" s="409"/>
      <c r="AN4" s="409"/>
      <c r="AO4" s="409"/>
      <c r="AP4" s="409"/>
      <c r="AQ4" s="409"/>
      <c r="AR4" s="410"/>
      <c r="AS4" s="411"/>
    </row>
    <row r="5" spans="2:45" ht="15" customHeight="1">
      <c r="B5" s="594" t="s">
        <v>48</v>
      </c>
      <c r="C5" s="594"/>
      <c r="D5" s="594"/>
      <c r="E5" s="594"/>
      <c r="F5" s="594"/>
      <c r="G5" s="594"/>
      <c r="H5" s="594"/>
      <c r="I5" s="594"/>
      <c r="J5" s="594"/>
      <c r="K5" s="594"/>
      <c r="L5" s="595">
        <f>'A. Resumen Costes Personal'!N17</f>
        <v>3690983.6485113017</v>
      </c>
      <c r="M5" s="595"/>
      <c r="N5" s="595"/>
      <c r="O5" s="595"/>
      <c r="P5" s="595"/>
      <c r="Q5" s="595"/>
      <c r="R5" s="595"/>
      <c r="S5" s="595"/>
      <c r="T5" s="595"/>
      <c r="U5" s="593">
        <f>L5/$L$17</f>
        <v>0.76781617418580705</v>
      </c>
      <c r="V5" s="593"/>
      <c r="Y5" s="594" t="s">
        <v>980</v>
      </c>
      <c r="Z5" s="594"/>
      <c r="AA5" s="594"/>
      <c r="AB5" s="594"/>
      <c r="AC5" s="594"/>
      <c r="AD5" s="594"/>
      <c r="AE5" s="594"/>
      <c r="AF5" s="594"/>
      <c r="AG5" s="594"/>
      <c r="AH5" s="594"/>
      <c r="AI5" s="607">
        <v>8</v>
      </c>
      <c r="AJ5" s="607"/>
      <c r="AK5" s="607"/>
      <c r="AL5" s="607"/>
      <c r="AM5" s="459"/>
      <c r="AN5" s="609">
        <f>'B.1.Vehículos'!P66</f>
        <v>1708283.75</v>
      </c>
      <c r="AO5" s="609"/>
      <c r="AP5" s="609"/>
      <c r="AQ5" s="609"/>
      <c r="AR5" s="609"/>
      <c r="AS5" s="609"/>
    </row>
    <row r="6" spans="2:45" ht="4.95" customHeight="1">
      <c r="B6" s="414"/>
      <c r="C6" s="414"/>
      <c r="D6" s="414"/>
      <c r="E6" s="414"/>
      <c r="F6" s="414"/>
      <c r="G6" s="414"/>
      <c r="H6" s="414"/>
      <c r="I6" s="414"/>
      <c r="J6" s="414"/>
      <c r="K6" s="414"/>
      <c r="L6" s="414"/>
      <c r="M6" s="414"/>
      <c r="N6" s="414"/>
      <c r="O6" s="414"/>
      <c r="P6" s="414"/>
      <c r="Q6" s="414"/>
      <c r="R6" s="414"/>
      <c r="S6" s="414"/>
      <c r="T6" s="414"/>
      <c r="U6" s="414"/>
      <c r="V6" s="414"/>
      <c r="Y6" s="414"/>
      <c r="Z6" s="414"/>
      <c r="AA6" s="414"/>
      <c r="AB6" s="414"/>
      <c r="AC6" s="414"/>
      <c r="AD6" s="414"/>
      <c r="AE6" s="414"/>
      <c r="AF6" s="414"/>
      <c r="AG6" s="414"/>
      <c r="AH6" s="414"/>
      <c r="AI6" s="425"/>
      <c r="AJ6" s="425"/>
      <c r="AK6" s="425"/>
      <c r="AL6" s="425"/>
      <c r="AM6" s="414"/>
      <c r="AN6" s="414"/>
      <c r="AO6" s="414"/>
      <c r="AP6" s="414"/>
      <c r="AQ6" s="414"/>
      <c r="AR6" s="414"/>
      <c r="AS6" s="414"/>
    </row>
    <row r="7" spans="2:45" ht="15" customHeight="1">
      <c r="B7" s="594" t="s">
        <v>49</v>
      </c>
      <c r="C7" s="594"/>
      <c r="D7" s="594"/>
      <c r="E7" s="594"/>
      <c r="F7" s="594"/>
      <c r="G7" s="594"/>
      <c r="H7" s="594"/>
      <c r="I7" s="594"/>
      <c r="J7" s="594"/>
      <c r="K7" s="594"/>
      <c r="L7" s="595">
        <f>'B. Resumen Costes Veh_Maq'!L6:O6</f>
        <v>561260.98467801302</v>
      </c>
      <c r="M7" s="595"/>
      <c r="N7" s="595"/>
      <c r="O7" s="595"/>
      <c r="P7" s="595"/>
      <c r="Q7" s="595"/>
      <c r="R7" s="595"/>
      <c r="S7" s="595"/>
      <c r="T7" s="595"/>
      <c r="U7" s="593">
        <f t="shared" ref="U7:U17" si="0">L7/$L$17</f>
        <v>0.11675621000083422</v>
      </c>
      <c r="V7" s="593"/>
      <c r="Y7" s="594" t="s">
        <v>982</v>
      </c>
      <c r="Z7" s="594"/>
      <c r="AA7" s="594"/>
      <c r="AB7" s="594"/>
      <c r="AC7" s="594"/>
      <c r="AD7" s="594"/>
      <c r="AE7" s="594"/>
      <c r="AF7" s="594"/>
      <c r="AG7" s="594"/>
      <c r="AH7" s="594"/>
      <c r="AI7" s="607">
        <v>4</v>
      </c>
      <c r="AJ7" s="607"/>
      <c r="AK7" s="607"/>
      <c r="AL7" s="607"/>
      <c r="AM7" s="459"/>
      <c r="AN7" s="609">
        <f>'B.2.Maquinaria'!P102</f>
        <v>336343.02470703126</v>
      </c>
      <c r="AO7" s="609"/>
      <c r="AP7" s="609"/>
      <c r="AQ7" s="609"/>
      <c r="AR7" s="609"/>
      <c r="AS7" s="609"/>
    </row>
    <row r="8" spans="2:45" ht="4.95" customHeight="1">
      <c r="B8" s="414"/>
      <c r="C8" s="414"/>
      <c r="D8" s="414"/>
      <c r="E8" s="414"/>
      <c r="F8" s="414"/>
      <c r="G8" s="414"/>
      <c r="H8" s="414"/>
      <c r="I8" s="414"/>
      <c r="J8" s="414"/>
      <c r="K8" s="414"/>
      <c r="L8" s="414"/>
      <c r="M8" s="414"/>
      <c r="N8" s="414"/>
      <c r="O8" s="414"/>
      <c r="P8" s="414"/>
      <c r="Q8" s="414"/>
      <c r="R8" s="414"/>
      <c r="S8" s="414"/>
      <c r="T8" s="414"/>
      <c r="U8" s="414"/>
      <c r="V8" s="414"/>
      <c r="Y8" s="414"/>
      <c r="Z8" s="414"/>
      <c r="AA8" s="414"/>
      <c r="AB8" s="414"/>
      <c r="AC8" s="414"/>
      <c r="AD8" s="414"/>
      <c r="AE8" s="414"/>
      <c r="AF8" s="414"/>
      <c r="AG8" s="414"/>
      <c r="AH8" s="414"/>
      <c r="AI8" s="425"/>
      <c r="AJ8" s="425"/>
      <c r="AK8" s="425"/>
      <c r="AL8" s="425"/>
      <c r="AM8" s="414"/>
      <c r="AN8" s="414"/>
      <c r="AO8" s="414"/>
      <c r="AP8" s="414"/>
      <c r="AQ8" s="414"/>
      <c r="AR8" s="414"/>
      <c r="AS8" s="414"/>
    </row>
    <row r="9" spans="2:45" ht="15" customHeight="1">
      <c r="B9" s="594" t="s">
        <v>50</v>
      </c>
      <c r="C9" s="594"/>
      <c r="D9" s="594"/>
      <c r="E9" s="594"/>
      <c r="F9" s="594"/>
      <c r="G9" s="594"/>
      <c r="H9" s="594"/>
      <c r="I9" s="594"/>
      <c r="J9" s="594"/>
      <c r="K9" s="594"/>
      <c r="L9" s="595">
        <f>'C. Resumen Costes Vest_Util_Her'!N8</f>
        <v>58890.628125000003</v>
      </c>
      <c r="M9" s="595"/>
      <c r="N9" s="595"/>
      <c r="O9" s="595"/>
      <c r="P9" s="595"/>
      <c r="Q9" s="595"/>
      <c r="R9" s="595"/>
      <c r="S9" s="595"/>
      <c r="T9" s="595"/>
      <c r="U9" s="593">
        <f t="shared" si="0"/>
        <v>1.2250711758252899E-2</v>
      </c>
      <c r="V9" s="593"/>
      <c r="Y9" s="594" t="s">
        <v>1023</v>
      </c>
      <c r="Z9" s="594"/>
      <c r="AA9" s="594"/>
      <c r="AB9" s="594"/>
      <c r="AC9" s="594"/>
      <c r="AD9" s="594"/>
      <c r="AE9" s="594"/>
      <c r="AF9" s="594"/>
      <c r="AG9" s="594"/>
      <c r="AH9" s="594"/>
      <c r="AI9" s="607">
        <v>4</v>
      </c>
      <c r="AJ9" s="607"/>
      <c r="AK9" s="607"/>
      <c r="AL9" s="607"/>
      <c r="AM9" s="459"/>
      <c r="AN9" s="609">
        <f>'B.2.Maquinaria'!P102</f>
        <v>336343.02470703126</v>
      </c>
      <c r="AO9" s="609"/>
      <c r="AP9" s="609"/>
      <c r="AQ9" s="609"/>
      <c r="AR9" s="609"/>
      <c r="AS9" s="609"/>
    </row>
    <row r="10" spans="2:45" ht="4.95" customHeight="1">
      <c r="B10" s="414"/>
      <c r="C10" s="414"/>
      <c r="D10" s="414"/>
      <c r="E10" s="414"/>
      <c r="F10" s="414"/>
      <c r="G10" s="414"/>
      <c r="H10" s="414"/>
      <c r="I10" s="414"/>
      <c r="J10" s="414"/>
      <c r="K10" s="414"/>
      <c r="L10" s="414"/>
      <c r="M10" s="414"/>
      <c r="N10" s="414"/>
      <c r="O10" s="414"/>
      <c r="P10" s="414"/>
      <c r="Q10" s="414"/>
      <c r="R10" s="414"/>
      <c r="S10" s="414"/>
      <c r="T10" s="414"/>
      <c r="U10" s="414"/>
      <c r="V10" s="414"/>
      <c r="Y10" s="414"/>
      <c r="Z10" s="414"/>
      <c r="AA10" s="414"/>
      <c r="AB10" s="414"/>
      <c r="AC10" s="414"/>
      <c r="AD10" s="414"/>
      <c r="AE10" s="414"/>
      <c r="AF10" s="414"/>
      <c r="AG10" s="414"/>
      <c r="AH10" s="414"/>
      <c r="AI10" s="425"/>
      <c r="AJ10" s="425"/>
      <c r="AK10" s="425"/>
      <c r="AL10" s="425"/>
      <c r="AM10" s="414"/>
      <c r="AN10" s="414"/>
      <c r="AO10" s="414"/>
      <c r="AP10" s="414"/>
      <c r="AQ10" s="414"/>
      <c r="AR10" s="414"/>
      <c r="AS10" s="414"/>
    </row>
    <row r="11" spans="2:45" ht="15" customHeight="1">
      <c r="B11" s="594" t="s">
        <v>51</v>
      </c>
      <c r="C11" s="594"/>
      <c r="D11" s="594"/>
      <c r="E11" s="594"/>
      <c r="F11" s="594"/>
      <c r="G11" s="594"/>
      <c r="H11" s="594"/>
      <c r="I11" s="594"/>
      <c r="J11" s="594"/>
      <c r="K11" s="594"/>
      <c r="L11" s="595">
        <f>'D. Resumen Costes Locales e ins'!N6</f>
        <v>152880</v>
      </c>
      <c r="M11" s="595"/>
      <c r="N11" s="595"/>
      <c r="O11" s="595"/>
      <c r="P11" s="595"/>
      <c r="Q11" s="595"/>
      <c r="R11" s="595"/>
      <c r="S11" s="595"/>
      <c r="T11" s="595"/>
      <c r="U11" s="593">
        <f t="shared" si="0"/>
        <v>3.1802833035272586E-2</v>
      </c>
      <c r="V11" s="593"/>
      <c r="Y11" s="594" t="s">
        <v>992</v>
      </c>
      <c r="Z11" s="594"/>
      <c r="AA11" s="594"/>
      <c r="AB11" s="594"/>
      <c r="AC11" s="594"/>
      <c r="AD11" s="594"/>
      <c r="AE11" s="594"/>
      <c r="AF11" s="594"/>
      <c r="AG11" s="594"/>
      <c r="AH11" s="594"/>
      <c r="AI11" s="607">
        <v>5</v>
      </c>
      <c r="AJ11" s="607"/>
      <c r="AK11" s="607"/>
      <c r="AL11" s="607"/>
      <c r="AM11" s="459"/>
      <c r="AN11" s="609"/>
      <c r="AO11" s="609"/>
      <c r="AP11" s="609"/>
      <c r="AQ11" s="609"/>
      <c r="AR11" s="609"/>
      <c r="AS11" s="609"/>
    </row>
    <row r="12" spans="2:45" ht="4.95" customHeight="1">
      <c r="B12" s="414"/>
      <c r="C12" s="414"/>
      <c r="D12" s="414"/>
      <c r="E12" s="414"/>
      <c r="F12" s="414"/>
      <c r="G12" s="414"/>
      <c r="H12" s="414"/>
      <c r="I12" s="414"/>
      <c r="J12" s="414"/>
      <c r="K12" s="414"/>
      <c r="L12" s="414"/>
      <c r="M12" s="414"/>
      <c r="N12" s="414"/>
      <c r="O12" s="414"/>
      <c r="P12" s="414"/>
      <c r="Q12" s="414"/>
      <c r="R12" s="414"/>
      <c r="S12" s="414"/>
      <c r="T12" s="414"/>
      <c r="U12" s="414"/>
      <c r="V12" s="414"/>
      <c r="Y12" s="414"/>
      <c r="Z12" s="414"/>
      <c r="AA12" s="414"/>
      <c r="AB12" s="414"/>
      <c r="AC12" s="414"/>
      <c r="AD12" s="414"/>
      <c r="AE12" s="414"/>
      <c r="AF12" s="414"/>
      <c r="AG12" s="414"/>
      <c r="AH12" s="414"/>
      <c r="AI12" s="425"/>
      <c r="AJ12" s="425"/>
      <c r="AK12" s="425"/>
      <c r="AL12" s="425"/>
      <c r="AM12" s="414"/>
      <c r="AN12" s="414"/>
      <c r="AO12" s="414"/>
      <c r="AP12" s="414"/>
      <c r="AQ12" s="414"/>
      <c r="AR12" s="414"/>
      <c r="AS12" s="414"/>
    </row>
    <row r="13" spans="2:45" ht="15" customHeight="1">
      <c r="B13" s="594" t="s">
        <v>52</v>
      </c>
      <c r="C13" s="594"/>
      <c r="D13" s="594"/>
      <c r="E13" s="594"/>
      <c r="F13" s="594"/>
      <c r="G13" s="594"/>
      <c r="H13" s="594"/>
      <c r="I13" s="594"/>
      <c r="J13" s="594"/>
      <c r="K13" s="594"/>
      <c r="L13" s="595">
        <f>'E. Resumen Costes Materiales '!N6</f>
        <v>130744.72534999999</v>
      </c>
      <c r="M13" s="595"/>
      <c r="N13" s="595"/>
      <c r="O13" s="595"/>
      <c r="P13" s="595"/>
      <c r="Q13" s="595"/>
      <c r="R13" s="595"/>
      <c r="S13" s="595"/>
      <c r="T13" s="595"/>
      <c r="U13" s="593">
        <f t="shared" si="0"/>
        <v>2.7198146719967432E-2</v>
      </c>
      <c r="V13" s="593"/>
      <c r="Y13" s="594"/>
      <c r="Z13" s="594"/>
      <c r="AA13" s="594"/>
      <c r="AB13" s="594"/>
      <c r="AC13" s="594"/>
      <c r="AD13" s="594"/>
      <c r="AE13" s="594"/>
      <c r="AF13" s="594"/>
      <c r="AG13" s="594"/>
      <c r="AH13" s="594"/>
      <c r="AI13" s="607"/>
      <c r="AJ13" s="607"/>
      <c r="AK13" s="607"/>
      <c r="AL13" s="607"/>
      <c r="AM13" s="459"/>
      <c r="AN13" s="609"/>
      <c r="AO13" s="609"/>
      <c r="AP13" s="609"/>
      <c r="AQ13" s="609"/>
      <c r="AR13" s="609"/>
      <c r="AS13" s="609"/>
    </row>
    <row r="14" spans="2:45" ht="4.95" customHeight="1">
      <c r="B14" s="414"/>
      <c r="C14" s="414"/>
      <c r="D14" s="414"/>
      <c r="E14" s="414"/>
      <c r="F14" s="414"/>
      <c r="G14" s="414"/>
      <c r="H14" s="414"/>
      <c r="I14" s="414"/>
      <c r="J14" s="414"/>
      <c r="K14" s="414"/>
      <c r="L14" s="414"/>
      <c r="M14" s="414"/>
      <c r="N14" s="414"/>
      <c r="O14" s="414"/>
      <c r="P14" s="414"/>
      <c r="Q14" s="414"/>
      <c r="R14" s="414"/>
      <c r="S14" s="414"/>
      <c r="T14" s="414"/>
      <c r="U14" s="414"/>
      <c r="V14" s="414"/>
      <c r="Y14" s="414"/>
      <c r="Z14" s="414"/>
      <c r="AA14" s="414"/>
      <c r="AB14" s="414"/>
      <c r="AC14" s="414"/>
      <c r="AD14" s="414"/>
      <c r="AE14" s="414"/>
      <c r="AF14" s="414"/>
      <c r="AG14" s="414"/>
      <c r="AH14" s="414"/>
      <c r="AI14" s="425"/>
      <c r="AJ14" s="425"/>
      <c r="AK14" s="425"/>
      <c r="AL14" s="425"/>
      <c r="AM14" s="414"/>
      <c r="AN14" s="414"/>
      <c r="AO14" s="414"/>
      <c r="AP14" s="414"/>
      <c r="AQ14" s="414"/>
      <c r="AR14" s="414"/>
      <c r="AS14" s="414"/>
    </row>
    <row r="15" spans="2:45" ht="15" customHeight="1">
      <c r="B15" s="594" t="s">
        <v>53</v>
      </c>
      <c r="C15" s="594"/>
      <c r="D15" s="594"/>
      <c r="E15" s="594"/>
      <c r="F15" s="594"/>
      <c r="G15" s="594"/>
      <c r="H15" s="594"/>
      <c r="I15" s="594"/>
      <c r="J15" s="594"/>
      <c r="K15" s="594"/>
      <c r="L15" s="595">
        <f>'F. Resumen Otros Costes'!L8</f>
        <v>212358.92096383477</v>
      </c>
      <c r="M15" s="595"/>
      <c r="N15" s="595"/>
      <c r="O15" s="595"/>
      <c r="P15" s="595"/>
      <c r="Q15" s="595"/>
      <c r="R15" s="595"/>
      <c r="S15" s="595"/>
      <c r="T15" s="595"/>
      <c r="U15" s="593">
        <f t="shared" si="0"/>
        <v>4.4175924299865811E-2</v>
      </c>
      <c r="V15" s="593"/>
      <c r="Y15" s="594"/>
      <c r="Z15" s="594"/>
      <c r="AA15" s="594"/>
      <c r="AB15" s="594"/>
      <c r="AC15" s="594"/>
      <c r="AD15" s="594"/>
      <c r="AE15" s="594"/>
      <c r="AF15" s="594"/>
      <c r="AG15" s="594"/>
      <c r="AH15" s="594"/>
      <c r="AI15" s="607"/>
      <c r="AJ15" s="607"/>
      <c r="AK15" s="607"/>
      <c r="AL15" s="607"/>
      <c r="AM15" s="459"/>
      <c r="AN15" s="609"/>
      <c r="AO15" s="609"/>
      <c r="AP15" s="609"/>
      <c r="AQ15" s="609"/>
      <c r="AR15" s="609"/>
      <c r="AS15" s="609"/>
    </row>
    <row r="16" spans="2:45" ht="4.95" customHeight="1">
      <c r="B16" s="147"/>
      <c r="C16" s="147"/>
      <c r="D16" s="147"/>
      <c r="E16" s="147"/>
      <c r="F16" s="147"/>
      <c r="G16" s="147"/>
      <c r="H16" s="147"/>
      <c r="I16" s="147"/>
      <c r="J16" s="147"/>
      <c r="K16" s="147"/>
      <c r="L16" s="412"/>
      <c r="M16" s="412"/>
      <c r="N16" s="412"/>
      <c r="O16" s="412"/>
      <c r="P16" s="412"/>
      <c r="Q16" s="412"/>
      <c r="R16" s="412"/>
      <c r="S16" s="412"/>
      <c r="T16" s="412"/>
      <c r="U16" s="407"/>
      <c r="V16" s="407"/>
      <c r="Y16" s="147"/>
      <c r="Z16" s="147"/>
      <c r="AA16" s="147"/>
      <c r="AB16" s="147"/>
      <c r="AC16" s="147"/>
      <c r="AD16" s="147"/>
      <c r="AE16" s="147"/>
      <c r="AF16" s="147"/>
      <c r="AG16" s="147"/>
      <c r="AH16" s="147"/>
      <c r="AI16" s="412"/>
      <c r="AJ16" s="412"/>
      <c r="AK16" s="412"/>
      <c r="AL16" s="412"/>
      <c r="AM16" s="412"/>
      <c r="AN16" s="412"/>
      <c r="AO16" s="412"/>
      <c r="AP16" s="412"/>
      <c r="AQ16" s="412"/>
      <c r="AR16" s="407"/>
      <c r="AS16" s="407"/>
    </row>
    <row r="17" spans="1:45" ht="15" customHeight="1">
      <c r="B17" s="451" t="s">
        <v>943</v>
      </c>
      <c r="C17" s="451"/>
      <c r="D17" s="451"/>
      <c r="E17" s="451"/>
      <c r="F17" s="451"/>
      <c r="G17" s="451"/>
      <c r="H17" s="451"/>
      <c r="I17" s="451"/>
      <c r="J17" s="451"/>
      <c r="K17" s="451"/>
      <c r="L17" s="596">
        <f>L5+L7+L9+L11+L13+L15</f>
        <v>4807118.9076281497</v>
      </c>
      <c r="M17" s="597"/>
      <c r="N17" s="597"/>
      <c r="O17" s="597"/>
      <c r="P17" s="597"/>
      <c r="Q17" s="597"/>
      <c r="R17" s="597"/>
      <c r="S17" s="597"/>
      <c r="T17" s="598"/>
      <c r="U17" s="599">
        <f t="shared" si="0"/>
        <v>1</v>
      </c>
      <c r="V17" s="600"/>
      <c r="Y17" s="611" t="s">
        <v>303</v>
      </c>
      <c r="Z17" s="611"/>
      <c r="AA17" s="611"/>
      <c r="AB17" s="611"/>
      <c r="AC17" s="611"/>
      <c r="AD17" s="611"/>
      <c r="AE17" s="611"/>
      <c r="AF17" s="611"/>
      <c r="AG17" s="611"/>
      <c r="AH17" s="611"/>
      <c r="AI17" s="611"/>
      <c r="AJ17" s="611"/>
      <c r="AK17" s="611"/>
      <c r="AL17" s="611"/>
      <c r="AM17" s="456"/>
      <c r="AN17" s="610">
        <f>SUM(AN5:AS16)</f>
        <v>2380969.7994140624</v>
      </c>
      <c r="AO17" s="610"/>
      <c r="AP17" s="610"/>
      <c r="AQ17" s="610"/>
      <c r="AR17" s="610"/>
      <c r="AS17" s="610"/>
    </row>
    <row r="18" spans="1:45" s="46" customFormat="1" ht="15" customHeight="1">
      <c r="B18" s="48"/>
      <c r="C18" s="48"/>
      <c r="D18" s="48"/>
      <c r="E18" s="48"/>
      <c r="F18" s="48"/>
      <c r="G18" s="48"/>
      <c r="H18" s="48"/>
      <c r="I18" s="48"/>
      <c r="J18" s="48"/>
      <c r="K18" s="48"/>
      <c r="L18" s="48"/>
      <c r="M18" s="48"/>
      <c r="N18" s="48"/>
      <c r="O18" s="48"/>
      <c r="P18" s="48"/>
      <c r="Q18" s="48"/>
      <c r="R18" s="48"/>
      <c r="S18" s="48"/>
      <c r="T18" s="48"/>
      <c r="U18" s="48"/>
      <c r="V18" s="48"/>
    </row>
    <row r="19" spans="1:45" s="46" customFormat="1" ht="15" customHeight="1">
      <c r="B19" s="48"/>
      <c r="C19" s="48"/>
      <c r="D19" s="48"/>
      <c r="E19" s="48"/>
      <c r="F19" s="48"/>
      <c r="G19" s="48"/>
      <c r="H19" s="48"/>
      <c r="I19" s="48"/>
      <c r="J19" s="48"/>
      <c r="K19" s="48"/>
      <c r="L19" s="48"/>
      <c r="M19" s="48"/>
      <c r="N19" s="48"/>
      <c r="O19" s="48"/>
      <c r="P19" s="48"/>
      <c r="Q19" s="48"/>
      <c r="R19" s="48"/>
      <c r="S19" s="48"/>
      <c r="T19" s="48"/>
      <c r="U19" s="48"/>
      <c r="V19" s="48"/>
    </row>
    <row r="20" spans="1:45" s="46" customFormat="1" ht="15" customHeight="1">
      <c r="B20" s="591" t="s">
        <v>978</v>
      </c>
      <c r="C20" s="591"/>
      <c r="D20" s="591"/>
      <c r="E20" s="591"/>
      <c r="F20" s="591"/>
      <c r="G20" s="591"/>
      <c r="H20" s="591"/>
      <c r="I20" s="591"/>
      <c r="J20" s="591"/>
      <c r="K20" s="591"/>
      <c r="L20" s="591"/>
      <c r="M20" s="591"/>
      <c r="N20" s="591"/>
      <c r="O20" s="591"/>
      <c r="P20" s="591"/>
      <c r="Q20" s="591"/>
      <c r="R20" s="591"/>
      <c r="S20" s="591"/>
      <c r="T20" s="591"/>
      <c r="U20" s="591"/>
      <c r="V20" s="591"/>
    </row>
    <row r="21" spans="1:45" s="46" customFormat="1" ht="4.95" customHeight="1">
      <c r="B21" s="50"/>
      <c r="C21" s="50"/>
      <c r="D21" s="50"/>
      <c r="E21" s="50"/>
      <c r="F21" s="50"/>
      <c r="G21" s="50"/>
      <c r="H21" s="50"/>
      <c r="I21" s="50"/>
      <c r="J21" s="50"/>
      <c r="K21" s="50"/>
      <c r="L21" s="50"/>
      <c r="M21" s="50"/>
      <c r="N21" s="50"/>
      <c r="O21" s="50"/>
      <c r="P21" s="50"/>
      <c r="Q21" s="50"/>
      <c r="R21" s="50"/>
      <c r="S21" s="50"/>
      <c r="T21" s="50"/>
      <c r="U21" s="50"/>
      <c r="V21" s="50"/>
    </row>
    <row r="22" spans="1:45" s="46" customFormat="1" ht="15" customHeight="1">
      <c r="B22" s="241"/>
      <c r="C22" s="241"/>
      <c r="D22" s="241"/>
      <c r="E22" s="241"/>
      <c r="F22" s="241"/>
      <c r="G22" s="241"/>
      <c r="H22" s="241"/>
      <c r="I22" s="241"/>
      <c r="J22" s="241"/>
      <c r="K22" s="241"/>
      <c r="L22" s="251"/>
      <c r="M22" s="251"/>
      <c r="N22" s="251"/>
      <c r="O22" s="251"/>
      <c r="P22" s="251"/>
      <c r="Q22" s="251"/>
      <c r="R22" s="251"/>
      <c r="S22" s="251"/>
      <c r="T22" s="251"/>
      <c r="U22" s="413" t="s">
        <v>973</v>
      </c>
      <c r="V22" s="242"/>
    </row>
    <row r="23" spans="1:45" s="46" customFormat="1" ht="15" customHeight="1">
      <c r="A23" s="416" t="s">
        <v>974</v>
      </c>
      <c r="B23" s="457" t="s">
        <v>969</v>
      </c>
      <c r="C23" s="457"/>
      <c r="D23" s="457"/>
      <c r="E23" s="457"/>
      <c r="F23" s="457"/>
      <c r="G23" s="457"/>
      <c r="H23" s="457"/>
      <c r="I23" s="457"/>
      <c r="J23" s="457"/>
      <c r="K23" s="457"/>
      <c r="L23" s="457"/>
      <c r="M23" s="457"/>
      <c r="N23" s="457"/>
      <c r="O23" s="457"/>
      <c r="P23" s="457"/>
      <c r="Q23" s="457"/>
      <c r="R23" s="457"/>
      <c r="S23" s="457"/>
      <c r="T23" s="457"/>
      <c r="U23" s="603">
        <f>CanonAnual!U24</f>
        <v>0.76781617418580705</v>
      </c>
      <c r="V23" s="603"/>
    </row>
    <row r="24" spans="1:45" s="46" customFormat="1" ht="15" customHeight="1">
      <c r="A24" s="416" t="s">
        <v>975</v>
      </c>
      <c r="B24" s="458" t="s">
        <v>970</v>
      </c>
      <c r="C24" s="458"/>
      <c r="D24" s="458"/>
      <c r="E24" s="458"/>
      <c r="F24" s="458"/>
      <c r="G24" s="458"/>
      <c r="H24" s="458"/>
      <c r="I24" s="458"/>
      <c r="J24" s="458"/>
      <c r="K24" s="458"/>
      <c r="L24" s="458"/>
      <c r="M24" s="458"/>
      <c r="N24" s="458"/>
      <c r="O24" s="458"/>
      <c r="P24" s="458"/>
      <c r="Q24" s="458"/>
      <c r="R24" s="458"/>
      <c r="S24" s="458"/>
      <c r="T24" s="458"/>
      <c r="U24" s="605">
        <f>CanonAnual!U25</f>
        <v>3.2205477537560347E-2</v>
      </c>
      <c r="V24" s="605"/>
    </row>
    <row r="25" spans="1:45" s="46" customFormat="1" ht="15" customHeight="1">
      <c r="A25" s="416" t="s">
        <v>976</v>
      </c>
      <c r="B25" s="457" t="s">
        <v>971</v>
      </c>
      <c r="C25" s="457"/>
      <c r="D25" s="457"/>
      <c r="E25" s="457"/>
      <c r="F25" s="457"/>
      <c r="G25" s="457"/>
      <c r="H25" s="457"/>
      <c r="I25" s="457"/>
      <c r="J25" s="457"/>
      <c r="K25" s="457"/>
      <c r="L25" s="457"/>
      <c r="M25" s="457"/>
      <c r="N25" s="457"/>
      <c r="O25" s="457"/>
      <c r="P25" s="457"/>
      <c r="Q25" s="457"/>
      <c r="R25" s="457"/>
      <c r="S25" s="457"/>
      <c r="T25" s="457"/>
      <c r="U25" s="603">
        <f>CanonAnual!U26</f>
        <v>1.0210431027486949E-3</v>
      </c>
      <c r="V25" s="603"/>
    </row>
    <row r="26" spans="1:45" s="46" customFormat="1" ht="15" customHeight="1">
      <c r="A26" s="416" t="s">
        <v>977</v>
      </c>
      <c r="B26" s="458" t="s">
        <v>972</v>
      </c>
      <c r="C26" s="458"/>
      <c r="D26" s="458"/>
      <c r="E26" s="458"/>
      <c r="F26" s="458"/>
      <c r="G26" s="458"/>
      <c r="H26" s="458"/>
      <c r="I26" s="458"/>
      <c r="J26" s="458"/>
      <c r="K26" s="458"/>
      <c r="L26" s="458"/>
      <c r="M26" s="458"/>
      <c r="N26" s="458"/>
      <c r="O26" s="458"/>
      <c r="P26" s="458"/>
      <c r="Q26" s="458"/>
      <c r="R26" s="458"/>
      <c r="S26" s="458"/>
      <c r="T26" s="458"/>
      <c r="U26" s="605">
        <f>CanonAnual!U27</f>
        <v>0.19895730517388399</v>
      </c>
      <c r="V26" s="605"/>
    </row>
    <row r="27" spans="1:45" s="46" customFormat="1" ht="15" customHeight="1">
      <c r="B27" s="452" t="s">
        <v>47</v>
      </c>
      <c r="C27" s="452"/>
      <c r="D27" s="452"/>
      <c r="E27" s="452"/>
      <c r="F27" s="452"/>
      <c r="G27" s="452"/>
      <c r="H27" s="452"/>
      <c r="I27" s="452"/>
      <c r="J27" s="452"/>
      <c r="K27" s="452"/>
      <c r="L27" s="453"/>
      <c r="M27" s="453"/>
      <c r="N27" s="453"/>
      <c r="O27" s="454"/>
      <c r="P27" s="455"/>
      <c r="Q27" s="455"/>
      <c r="R27" s="455"/>
      <c r="S27" s="455"/>
      <c r="T27" s="455"/>
      <c r="U27" s="604">
        <f>CanonAnual!U28</f>
        <v>1</v>
      </c>
      <c r="V27" s="604"/>
    </row>
    <row r="28" spans="1:45" s="46" customFormat="1" ht="15" customHeight="1">
      <c r="B28" s="48"/>
      <c r="C28" s="48"/>
      <c r="D28" s="48"/>
      <c r="E28" s="48"/>
      <c r="F28" s="48"/>
      <c r="G28" s="48"/>
      <c r="H28" s="48"/>
      <c r="I28" s="48"/>
      <c r="J28" s="48"/>
      <c r="K28" s="48"/>
      <c r="L28" s="48"/>
      <c r="M28" s="48"/>
      <c r="N28" s="48"/>
      <c r="O28" s="48"/>
      <c r="P28" s="48"/>
      <c r="Q28" s="48"/>
      <c r="R28" s="48"/>
      <c r="S28" s="48"/>
      <c r="T28" s="48"/>
      <c r="U28" s="48"/>
      <c r="V28" s="48"/>
    </row>
    <row r="29" spans="1:45" s="46" customFormat="1" ht="15" customHeight="1">
      <c r="B29" s="48"/>
      <c r="C29" s="48"/>
      <c r="D29" s="48"/>
      <c r="E29" s="48"/>
      <c r="F29" s="48"/>
      <c r="G29" s="48"/>
      <c r="H29" s="48"/>
      <c r="I29" s="48"/>
      <c r="J29" s="48"/>
      <c r="K29" s="48"/>
      <c r="L29" s="48"/>
      <c r="M29" s="48"/>
      <c r="N29" s="48"/>
      <c r="O29" s="48"/>
      <c r="P29" s="48"/>
      <c r="Q29" s="48"/>
      <c r="R29" s="48"/>
      <c r="S29" s="48"/>
      <c r="T29" s="48"/>
      <c r="U29" s="48"/>
      <c r="V29" s="48"/>
    </row>
    <row r="30" spans="1:45" s="46" customFormat="1" ht="15" customHeight="1">
      <c r="B30" s="48"/>
      <c r="C30" s="48"/>
      <c r="D30" s="48"/>
      <c r="E30" s="48"/>
      <c r="F30" s="48"/>
      <c r="G30" s="48"/>
      <c r="H30" s="48"/>
      <c r="I30" s="48"/>
      <c r="J30" s="48"/>
      <c r="K30" s="48"/>
      <c r="L30" s="48"/>
      <c r="M30" s="48"/>
      <c r="N30" s="48"/>
      <c r="O30" s="48"/>
      <c r="P30" s="48"/>
      <c r="Q30" s="48"/>
      <c r="R30" s="48"/>
      <c r="S30" s="48"/>
      <c r="T30" s="48"/>
      <c r="U30" s="48"/>
      <c r="V30" s="48"/>
    </row>
    <row r="31" spans="1:45" s="46" customFormat="1" ht="15" customHeight="1">
      <c r="B31" s="48"/>
      <c r="C31" s="48"/>
      <c r="D31" s="48"/>
      <c r="E31" s="48"/>
      <c r="F31" s="48"/>
      <c r="G31" s="48"/>
      <c r="H31" s="48"/>
      <c r="I31" s="48"/>
      <c r="J31" s="48"/>
      <c r="K31" s="48"/>
      <c r="L31" s="48"/>
      <c r="M31" s="48"/>
      <c r="N31" s="48"/>
      <c r="O31" s="48"/>
      <c r="P31" s="48"/>
      <c r="Q31" s="48"/>
      <c r="R31" s="48"/>
      <c r="S31" s="48"/>
      <c r="T31" s="48"/>
      <c r="U31" s="48"/>
      <c r="V31" s="48"/>
    </row>
    <row r="32" spans="1:45" s="46" customFormat="1" ht="15" customHeight="1">
      <c r="B32" s="48"/>
      <c r="C32" s="48"/>
      <c r="D32" s="48"/>
      <c r="E32" s="48"/>
      <c r="F32" s="48"/>
      <c r="G32" s="48"/>
      <c r="H32" s="48"/>
      <c r="I32" s="48"/>
      <c r="J32" s="48"/>
      <c r="K32" s="48"/>
      <c r="L32" s="48"/>
      <c r="M32" s="48"/>
      <c r="N32" s="48"/>
      <c r="O32" s="48"/>
      <c r="P32" s="48"/>
      <c r="Q32" s="48"/>
      <c r="R32" s="48"/>
      <c r="S32" s="48"/>
      <c r="T32" s="48"/>
      <c r="U32" s="48"/>
      <c r="V32" s="48"/>
    </row>
    <row r="33" spans="2:22" s="46" customFormat="1" ht="15" customHeight="1">
      <c r="B33" s="48"/>
      <c r="C33" s="48"/>
      <c r="D33" s="48"/>
      <c r="E33" s="48"/>
      <c r="F33" s="48"/>
      <c r="G33" s="48"/>
      <c r="H33" s="48"/>
      <c r="I33" s="48"/>
      <c r="J33" s="48"/>
      <c r="K33" s="48"/>
      <c r="L33" s="48"/>
      <c r="M33" s="48"/>
      <c r="N33" s="48"/>
      <c r="O33" s="48"/>
      <c r="P33" s="48"/>
      <c r="Q33" s="48"/>
      <c r="R33" s="48"/>
      <c r="S33" s="48"/>
      <c r="T33" s="48"/>
      <c r="U33" s="48"/>
      <c r="V33" s="48"/>
    </row>
    <row r="34" spans="2:22" s="46" customFormat="1" ht="15" customHeight="1">
      <c r="B34" s="48"/>
      <c r="C34" s="48"/>
      <c r="D34" s="48"/>
      <c r="E34" s="48"/>
      <c r="F34" s="48"/>
      <c r="G34" s="48"/>
      <c r="H34" s="48"/>
      <c r="I34" s="48"/>
      <c r="J34" s="48"/>
      <c r="K34" s="48"/>
      <c r="L34" s="48"/>
      <c r="M34" s="48"/>
      <c r="N34" s="48"/>
      <c r="O34" s="48"/>
      <c r="P34" s="48"/>
      <c r="Q34" s="48"/>
      <c r="R34" s="48"/>
      <c r="S34" s="48"/>
      <c r="T34" s="48"/>
      <c r="U34" s="48"/>
      <c r="V34" s="48"/>
    </row>
    <row r="35" spans="2:22" s="46" customFormat="1" ht="15" customHeight="1">
      <c r="B35" s="48"/>
      <c r="C35" s="48"/>
      <c r="D35" s="48"/>
      <c r="E35" s="48"/>
      <c r="F35" s="48"/>
      <c r="G35" s="48"/>
      <c r="H35" s="48"/>
      <c r="I35" s="48"/>
      <c r="J35" s="48"/>
      <c r="K35" s="48"/>
      <c r="L35" s="48"/>
      <c r="M35" s="48"/>
      <c r="N35" s="48"/>
      <c r="O35" s="48"/>
      <c r="P35" s="48"/>
      <c r="Q35" s="48"/>
      <c r="R35" s="48"/>
      <c r="S35" s="48"/>
      <c r="T35" s="48"/>
      <c r="U35" s="48"/>
      <c r="V35" s="48"/>
    </row>
    <row r="36" spans="2:22" s="46" customFormat="1" ht="15" customHeight="1">
      <c r="B36" s="48"/>
      <c r="C36" s="48"/>
      <c r="D36" s="48"/>
      <c r="E36" s="48"/>
      <c r="F36" s="48"/>
      <c r="G36" s="48"/>
      <c r="H36" s="48"/>
      <c r="I36" s="48"/>
      <c r="J36" s="48"/>
      <c r="K36" s="48"/>
      <c r="L36" s="48"/>
      <c r="M36" s="48"/>
      <c r="N36" s="48"/>
      <c r="O36" s="48"/>
      <c r="P36" s="48"/>
      <c r="Q36" s="48"/>
      <c r="R36" s="48"/>
      <c r="S36" s="48"/>
      <c r="T36" s="48"/>
      <c r="U36" s="48"/>
      <c r="V36" s="48"/>
    </row>
    <row r="37" spans="2:22" s="46" customFormat="1" ht="15" customHeight="1">
      <c r="B37" s="48"/>
      <c r="C37" s="48"/>
      <c r="D37" s="48"/>
      <c r="E37" s="48"/>
      <c r="F37" s="48"/>
      <c r="G37" s="48"/>
      <c r="H37" s="48"/>
      <c r="I37" s="48"/>
      <c r="J37" s="48"/>
      <c r="K37" s="48"/>
      <c r="L37" s="48"/>
      <c r="M37" s="48"/>
      <c r="N37" s="48"/>
      <c r="O37" s="48"/>
      <c r="P37" s="48"/>
      <c r="Q37" s="48"/>
      <c r="R37" s="48"/>
      <c r="S37" s="48"/>
      <c r="T37" s="48"/>
      <c r="U37" s="48"/>
      <c r="V37" s="48"/>
    </row>
    <row r="38" spans="2:22" s="46" customFormat="1" ht="15" customHeight="1">
      <c r="B38" s="48"/>
      <c r="C38" s="48"/>
      <c r="D38" s="48"/>
      <c r="E38" s="48"/>
      <c r="F38" s="48"/>
      <c r="G38" s="48"/>
      <c r="H38" s="48"/>
      <c r="I38" s="48"/>
      <c r="J38" s="48"/>
      <c r="K38" s="48"/>
      <c r="L38" s="48"/>
      <c r="M38" s="48"/>
      <c r="N38" s="48"/>
      <c r="O38" s="48"/>
      <c r="P38" s="48"/>
      <c r="Q38" s="48"/>
      <c r="R38" s="48"/>
      <c r="S38" s="48"/>
      <c r="T38" s="48"/>
      <c r="U38" s="48"/>
      <c r="V38" s="48"/>
    </row>
    <row r="39" spans="2:22" s="46" customFormat="1" ht="15" customHeight="1">
      <c r="B39" s="48"/>
      <c r="C39" s="48"/>
      <c r="D39" s="48"/>
      <c r="E39" s="48"/>
      <c r="F39" s="48"/>
      <c r="G39" s="48"/>
      <c r="H39" s="48"/>
      <c r="I39" s="48"/>
      <c r="J39" s="48"/>
      <c r="K39" s="48"/>
      <c r="L39" s="48"/>
      <c r="M39" s="48"/>
      <c r="N39" s="48"/>
      <c r="O39" s="48"/>
      <c r="P39" s="48"/>
      <c r="Q39" s="48"/>
      <c r="R39" s="48"/>
      <c r="S39" s="48"/>
      <c r="T39" s="48"/>
      <c r="U39" s="48"/>
      <c r="V39" s="48"/>
    </row>
    <row r="40" spans="2:22" s="46" customFormat="1" ht="15" customHeight="1">
      <c r="B40" s="48"/>
      <c r="C40" s="48"/>
      <c r="D40" s="48"/>
      <c r="E40" s="48"/>
      <c r="F40" s="48"/>
      <c r="G40" s="48"/>
      <c r="H40" s="48"/>
      <c r="I40" s="48"/>
      <c r="J40" s="48"/>
      <c r="K40" s="48"/>
      <c r="L40" s="48"/>
      <c r="M40" s="48"/>
      <c r="N40" s="48"/>
      <c r="O40" s="48"/>
      <c r="P40" s="48"/>
      <c r="Q40" s="48"/>
      <c r="R40" s="48"/>
      <c r="S40" s="48"/>
      <c r="T40" s="48"/>
      <c r="U40" s="48"/>
      <c r="V40" s="48"/>
    </row>
    <row r="41" spans="2:22" s="46" customFormat="1" ht="15" customHeight="1">
      <c r="B41" s="48"/>
      <c r="C41" s="48"/>
      <c r="D41" s="48"/>
      <c r="E41" s="48"/>
      <c r="F41" s="48"/>
      <c r="G41" s="48"/>
      <c r="H41" s="48"/>
      <c r="I41" s="48"/>
      <c r="J41" s="48"/>
      <c r="K41" s="48"/>
      <c r="L41" s="48"/>
      <c r="M41" s="48"/>
      <c r="N41" s="48"/>
      <c r="O41" s="48"/>
      <c r="P41" s="48"/>
      <c r="Q41" s="48"/>
      <c r="R41" s="48"/>
      <c r="S41" s="48"/>
      <c r="T41" s="48"/>
      <c r="U41" s="48"/>
      <c r="V41" s="48"/>
    </row>
    <row r="42" spans="2:22" s="46" customFormat="1" ht="15" customHeight="1">
      <c r="B42" s="48"/>
      <c r="C42" s="48"/>
      <c r="D42" s="48"/>
      <c r="E42" s="48"/>
      <c r="F42" s="48"/>
      <c r="G42" s="48"/>
      <c r="H42" s="48"/>
      <c r="I42" s="48"/>
      <c r="J42" s="48"/>
      <c r="K42" s="48"/>
      <c r="L42" s="48"/>
      <c r="M42" s="48"/>
      <c r="N42" s="48"/>
      <c r="O42" s="48"/>
      <c r="P42" s="48"/>
      <c r="Q42" s="48"/>
      <c r="R42" s="48"/>
      <c r="S42" s="48"/>
      <c r="T42" s="48"/>
      <c r="U42" s="48"/>
      <c r="V42" s="48"/>
    </row>
    <row r="43" spans="2:22" s="46" customFormat="1" ht="15" customHeight="1">
      <c r="B43" s="48"/>
      <c r="C43" s="48"/>
      <c r="D43" s="48"/>
      <c r="E43" s="48"/>
      <c r="F43" s="48"/>
      <c r="G43" s="48"/>
      <c r="H43" s="48"/>
      <c r="I43" s="48"/>
      <c r="J43" s="48"/>
      <c r="K43" s="48"/>
      <c r="L43" s="48"/>
      <c r="M43" s="48"/>
      <c r="N43" s="48"/>
      <c r="O43" s="48"/>
      <c r="P43" s="48"/>
      <c r="Q43" s="48"/>
      <c r="R43" s="48"/>
      <c r="S43" s="48"/>
      <c r="T43" s="48"/>
      <c r="U43" s="48"/>
      <c r="V43" s="48"/>
    </row>
    <row r="44" spans="2:22" s="46" customFormat="1" ht="15" customHeight="1">
      <c r="B44" s="48"/>
      <c r="C44" s="48"/>
      <c r="D44" s="48"/>
      <c r="E44" s="48"/>
      <c r="F44" s="48"/>
      <c r="G44" s="48"/>
      <c r="H44" s="48"/>
      <c r="I44" s="48"/>
      <c r="J44" s="48"/>
      <c r="K44" s="48"/>
      <c r="L44" s="48"/>
      <c r="M44" s="48"/>
      <c r="N44" s="48"/>
      <c r="O44" s="48"/>
      <c r="P44" s="48"/>
      <c r="Q44" s="48"/>
      <c r="R44" s="48"/>
      <c r="S44" s="48"/>
      <c r="T44" s="48"/>
      <c r="U44" s="48"/>
      <c r="V44" s="48"/>
    </row>
    <row r="45" spans="2:22" s="46" customFormat="1" ht="15" customHeight="1">
      <c r="B45" s="48"/>
      <c r="C45" s="48"/>
      <c r="D45" s="48"/>
      <c r="E45" s="48"/>
      <c r="F45" s="48"/>
      <c r="G45" s="48"/>
      <c r="H45" s="48"/>
      <c r="I45" s="48"/>
      <c r="J45" s="48"/>
      <c r="K45" s="48"/>
      <c r="L45" s="48"/>
      <c r="M45" s="48"/>
      <c r="N45" s="48"/>
      <c r="O45" s="48"/>
      <c r="P45" s="48"/>
      <c r="Q45" s="48"/>
      <c r="R45" s="48"/>
      <c r="S45" s="48"/>
      <c r="T45" s="48"/>
      <c r="U45" s="48"/>
      <c r="V45" s="48"/>
    </row>
    <row r="46" spans="2:22" s="46" customFormat="1" ht="15" customHeight="1">
      <c r="B46" s="48"/>
      <c r="C46" s="48"/>
      <c r="D46" s="48"/>
      <c r="E46" s="48"/>
      <c r="F46" s="48"/>
      <c r="G46" s="48"/>
      <c r="H46" s="48"/>
      <c r="I46" s="48"/>
      <c r="J46" s="48"/>
      <c r="K46" s="48"/>
      <c r="L46" s="48"/>
      <c r="M46" s="48"/>
      <c r="N46" s="48"/>
      <c r="O46" s="48"/>
      <c r="P46" s="48"/>
      <c r="Q46" s="48"/>
      <c r="R46" s="48"/>
      <c r="S46" s="48"/>
      <c r="T46" s="48"/>
      <c r="U46" s="48"/>
      <c r="V46" s="48"/>
    </row>
    <row r="47" spans="2:22" s="46" customFormat="1" ht="15" customHeight="1">
      <c r="B47" s="48"/>
      <c r="C47" s="48"/>
      <c r="D47" s="48"/>
      <c r="E47" s="48"/>
      <c r="F47" s="48"/>
      <c r="G47" s="48"/>
      <c r="H47" s="48"/>
      <c r="I47" s="48"/>
      <c r="J47" s="48"/>
      <c r="K47" s="48"/>
      <c r="L47" s="48"/>
      <c r="M47" s="48"/>
      <c r="N47" s="48"/>
      <c r="O47" s="48"/>
      <c r="P47" s="48"/>
      <c r="Q47" s="48"/>
      <c r="R47" s="48"/>
      <c r="S47" s="48"/>
      <c r="T47" s="48"/>
      <c r="U47" s="48"/>
      <c r="V47" s="48"/>
    </row>
    <row r="48" spans="2:22" s="46" customFormat="1" ht="15" customHeight="1">
      <c r="B48" s="48"/>
      <c r="C48" s="48"/>
      <c r="D48" s="48"/>
      <c r="E48" s="48"/>
      <c r="F48" s="48"/>
      <c r="G48" s="48"/>
      <c r="H48" s="48"/>
      <c r="I48" s="48"/>
      <c r="J48" s="48"/>
      <c r="K48" s="48"/>
      <c r="L48" s="48"/>
      <c r="M48" s="48"/>
      <c r="N48" s="48"/>
      <c r="O48" s="48"/>
      <c r="P48" s="48"/>
      <c r="Q48" s="48"/>
      <c r="R48" s="48"/>
      <c r="S48" s="48"/>
      <c r="T48" s="48"/>
      <c r="U48" s="48"/>
      <c r="V48" s="48"/>
    </row>
    <row r="49" spans="2:22" s="46" customFormat="1" ht="15" customHeight="1">
      <c r="B49" s="48"/>
      <c r="C49" s="48"/>
      <c r="D49" s="48"/>
      <c r="E49" s="48"/>
      <c r="F49" s="48"/>
      <c r="G49" s="48"/>
      <c r="H49" s="48"/>
      <c r="I49" s="48"/>
      <c r="J49" s="48"/>
      <c r="K49" s="48"/>
      <c r="L49" s="48"/>
      <c r="M49" s="48"/>
      <c r="N49" s="48"/>
      <c r="O49" s="48"/>
      <c r="P49" s="48"/>
      <c r="Q49" s="48"/>
      <c r="R49" s="48"/>
      <c r="S49" s="48"/>
      <c r="T49" s="48"/>
      <c r="U49" s="48"/>
      <c r="V49" s="48"/>
    </row>
    <row r="50" spans="2:22" s="46" customFormat="1" ht="15" customHeight="1">
      <c r="B50" s="48"/>
      <c r="C50" s="48"/>
      <c r="D50" s="48"/>
      <c r="E50" s="48"/>
      <c r="F50" s="48"/>
      <c r="G50" s="48"/>
      <c r="H50" s="48"/>
      <c r="I50" s="48"/>
      <c r="J50" s="48"/>
      <c r="K50" s="48"/>
      <c r="L50" s="48"/>
      <c r="M50" s="48"/>
      <c r="N50" s="48"/>
      <c r="O50" s="48"/>
      <c r="P50" s="48"/>
      <c r="Q50" s="48"/>
      <c r="R50" s="48"/>
      <c r="S50" s="48"/>
      <c r="T50" s="48"/>
      <c r="U50" s="48"/>
      <c r="V50" s="48"/>
    </row>
    <row r="51" spans="2:22" s="46" customFormat="1" ht="15" customHeight="1">
      <c r="B51" s="48"/>
      <c r="C51" s="48"/>
      <c r="D51" s="48"/>
      <c r="E51" s="48"/>
      <c r="F51" s="48"/>
      <c r="G51" s="48"/>
      <c r="H51" s="48"/>
      <c r="I51" s="48"/>
      <c r="J51" s="48"/>
      <c r="K51" s="48"/>
      <c r="L51" s="48"/>
      <c r="M51" s="48"/>
      <c r="N51" s="48"/>
      <c r="O51" s="48"/>
      <c r="P51" s="48"/>
      <c r="Q51" s="48"/>
      <c r="R51" s="48"/>
      <c r="S51" s="48"/>
      <c r="T51" s="48"/>
      <c r="U51" s="48"/>
      <c r="V51" s="48"/>
    </row>
    <row r="52" spans="2:22" s="46" customFormat="1" ht="15" customHeight="1">
      <c r="B52" s="48"/>
      <c r="C52" s="48"/>
      <c r="D52" s="48"/>
      <c r="E52" s="48"/>
      <c r="F52" s="48"/>
      <c r="G52" s="48"/>
      <c r="H52" s="48"/>
      <c r="I52" s="48"/>
      <c r="J52" s="48"/>
      <c r="K52" s="48"/>
      <c r="L52" s="48"/>
      <c r="M52" s="48"/>
      <c r="N52" s="48"/>
      <c r="O52" s="48"/>
      <c r="P52" s="48"/>
      <c r="Q52" s="48"/>
      <c r="R52" s="48"/>
      <c r="S52" s="48"/>
      <c r="T52" s="48"/>
      <c r="U52" s="48"/>
      <c r="V52" s="48"/>
    </row>
    <row r="53" spans="2:22" s="46" customFormat="1" ht="15" customHeight="1">
      <c r="B53" s="48"/>
      <c r="C53" s="48"/>
      <c r="D53" s="48"/>
      <c r="E53" s="48"/>
      <c r="F53" s="48"/>
      <c r="G53" s="48"/>
      <c r="H53" s="48"/>
      <c r="I53" s="48"/>
      <c r="J53" s="48"/>
      <c r="K53" s="48"/>
      <c r="L53" s="48"/>
      <c r="M53" s="48"/>
      <c r="N53" s="48"/>
      <c r="O53" s="48"/>
      <c r="P53" s="48"/>
      <c r="Q53" s="48"/>
      <c r="R53" s="48"/>
      <c r="S53" s="48"/>
      <c r="T53" s="48"/>
      <c r="U53" s="48"/>
      <c r="V53" s="48"/>
    </row>
    <row r="54" spans="2:22" s="46" customFormat="1" ht="15" customHeight="1">
      <c r="B54" s="48"/>
      <c r="C54" s="48"/>
      <c r="D54" s="48"/>
      <c r="E54" s="48"/>
      <c r="F54" s="48"/>
      <c r="G54" s="48"/>
      <c r="H54" s="48"/>
      <c r="I54" s="48"/>
      <c r="J54" s="48"/>
      <c r="K54" s="48"/>
      <c r="L54" s="48"/>
      <c r="M54" s="48"/>
      <c r="N54" s="48"/>
      <c r="O54" s="48"/>
      <c r="P54" s="48"/>
      <c r="Q54" s="48"/>
      <c r="R54" s="48"/>
      <c r="S54" s="48"/>
      <c r="T54" s="48"/>
      <c r="U54" s="48"/>
      <c r="V54" s="48"/>
    </row>
    <row r="55" spans="2:22" s="46" customFormat="1" ht="15" customHeight="1">
      <c r="B55" s="48"/>
      <c r="C55" s="48"/>
      <c r="D55" s="48"/>
      <c r="E55" s="48"/>
      <c r="F55" s="48"/>
      <c r="G55" s="48"/>
      <c r="H55" s="48"/>
      <c r="I55" s="48"/>
      <c r="J55" s="48"/>
      <c r="K55" s="48"/>
      <c r="L55" s="48"/>
      <c r="M55" s="48"/>
      <c r="N55" s="48"/>
      <c r="O55" s="48"/>
      <c r="P55" s="48"/>
      <c r="Q55" s="48"/>
      <c r="R55" s="48"/>
      <c r="S55" s="48"/>
      <c r="T55" s="48"/>
      <c r="U55" s="48"/>
      <c r="V55" s="48"/>
    </row>
    <row r="56" spans="2:22" s="46" customFormat="1" ht="15" customHeight="1">
      <c r="B56" s="48"/>
      <c r="C56" s="48"/>
      <c r="D56" s="48"/>
      <c r="E56" s="48"/>
      <c r="F56" s="48"/>
      <c r="G56" s="48"/>
      <c r="H56" s="48"/>
      <c r="I56" s="48"/>
      <c r="J56" s="48"/>
      <c r="K56" s="48"/>
      <c r="L56" s="48"/>
      <c r="M56" s="48"/>
      <c r="N56" s="48"/>
      <c r="O56" s="48"/>
      <c r="P56" s="48"/>
      <c r="Q56" s="48"/>
      <c r="R56" s="48"/>
      <c r="S56" s="48"/>
      <c r="T56" s="48"/>
      <c r="U56" s="48"/>
      <c r="V56" s="48"/>
    </row>
    <row r="57" spans="2:22" s="46" customFormat="1" ht="15" customHeight="1">
      <c r="B57" s="48"/>
      <c r="C57" s="48"/>
      <c r="D57" s="48"/>
      <c r="E57" s="48"/>
      <c r="F57" s="48"/>
      <c r="G57" s="48"/>
      <c r="H57" s="48"/>
      <c r="I57" s="48"/>
      <c r="J57" s="48"/>
      <c r="K57" s="48"/>
      <c r="L57" s="48"/>
      <c r="M57" s="48"/>
      <c r="N57" s="48"/>
      <c r="O57" s="48"/>
      <c r="P57" s="48"/>
      <c r="Q57" s="48"/>
      <c r="R57" s="48"/>
      <c r="S57" s="48"/>
      <c r="T57" s="48"/>
      <c r="U57" s="48"/>
      <c r="V57" s="48"/>
    </row>
    <row r="58" spans="2:22" s="46" customFormat="1" ht="15" customHeight="1">
      <c r="B58" s="48"/>
      <c r="C58" s="48"/>
      <c r="D58" s="48"/>
      <c r="E58" s="48"/>
      <c r="F58" s="48"/>
      <c r="G58" s="48"/>
      <c r="H58" s="48"/>
      <c r="I58" s="48"/>
      <c r="J58" s="48"/>
      <c r="K58" s="48"/>
      <c r="L58" s="48"/>
      <c r="M58" s="48"/>
      <c r="N58" s="48"/>
      <c r="O58" s="48"/>
      <c r="P58" s="48"/>
      <c r="Q58" s="48"/>
      <c r="R58" s="48"/>
      <c r="S58" s="48"/>
      <c r="T58" s="48"/>
      <c r="U58" s="48"/>
      <c r="V58" s="48"/>
    </row>
    <row r="59" spans="2:22" s="46" customFormat="1" ht="15" customHeight="1">
      <c r="B59" s="48"/>
      <c r="C59" s="48"/>
      <c r="D59" s="48"/>
      <c r="E59" s="48"/>
      <c r="F59" s="48"/>
      <c r="G59" s="48"/>
      <c r="H59" s="48"/>
      <c r="I59" s="48"/>
      <c r="J59" s="48"/>
      <c r="K59" s="48"/>
      <c r="L59" s="48"/>
      <c r="M59" s="48"/>
      <c r="N59" s="48"/>
      <c r="O59" s="48"/>
      <c r="P59" s="48"/>
      <c r="Q59" s="48"/>
      <c r="R59" s="48"/>
      <c r="S59" s="48"/>
      <c r="T59" s="48"/>
      <c r="U59" s="48"/>
      <c r="V59" s="48"/>
    </row>
    <row r="60" spans="2:22" s="46" customFormat="1" ht="15" customHeight="1">
      <c r="B60" s="48"/>
      <c r="C60" s="48"/>
      <c r="D60" s="48"/>
      <c r="E60" s="48"/>
      <c r="F60" s="48"/>
      <c r="G60" s="48"/>
      <c r="H60" s="48"/>
      <c r="I60" s="48"/>
      <c r="J60" s="48"/>
      <c r="K60" s="48"/>
      <c r="L60" s="48"/>
      <c r="M60" s="48"/>
      <c r="N60" s="48"/>
      <c r="O60" s="48"/>
      <c r="P60" s="48"/>
      <c r="Q60" s="48"/>
      <c r="R60" s="48"/>
      <c r="S60" s="48"/>
      <c r="T60" s="48"/>
      <c r="U60" s="48"/>
      <c r="V60" s="48"/>
    </row>
    <row r="61" spans="2:22" s="46" customFormat="1" ht="15" customHeight="1">
      <c r="B61" s="48"/>
      <c r="C61" s="48"/>
      <c r="D61" s="48"/>
      <c r="E61" s="48"/>
      <c r="F61" s="48"/>
      <c r="G61" s="48"/>
      <c r="H61" s="48"/>
      <c r="I61" s="48"/>
      <c r="J61" s="48"/>
      <c r="K61" s="48"/>
      <c r="L61" s="48"/>
      <c r="M61" s="48"/>
      <c r="N61" s="48"/>
      <c r="O61" s="48"/>
      <c r="P61" s="48"/>
      <c r="Q61" s="48"/>
      <c r="R61" s="48"/>
      <c r="S61" s="48"/>
      <c r="T61" s="48"/>
      <c r="U61" s="48"/>
      <c r="V61" s="48"/>
    </row>
    <row r="62" spans="2:22" s="46" customFormat="1" ht="15" customHeight="1">
      <c r="B62" s="48"/>
      <c r="C62" s="48"/>
      <c r="D62" s="48"/>
      <c r="E62" s="48"/>
      <c r="F62" s="48"/>
      <c r="G62" s="48"/>
      <c r="H62" s="48"/>
      <c r="I62" s="48"/>
      <c r="J62" s="48"/>
      <c r="K62" s="48"/>
      <c r="L62" s="48"/>
      <c r="M62" s="48"/>
      <c r="N62" s="48"/>
      <c r="O62" s="48"/>
      <c r="P62" s="48"/>
      <c r="Q62" s="48"/>
      <c r="R62" s="48"/>
      <c r="S62" s="48"/>
      <c r="T62" s="48"/>
      <c r="U62" s="48"/>
      <c r="V62" s="48"/>
    </row>
    <row r="63" spans="2:22" s="46" customFormat="1" ht="15" customHeight="1">
      <c r="B63" s="48"/>
      <c r="C63" s="48"/>
      <c r="D63" s="48"/>
      <c r="E63" s="48"/>
      <c r="F63" s="48"/>
      <c r="G63" s="48"/>
      <c r="H63" s="48"/>
      <c r="I63" s="48"/>
      <c r="J63" s="48"/>
      <c r="K63" s="48"/>
      <c r="L63" s="48"/>
      <c r="M63" s="48"/>
      <c r="N63" s="48"/>
      <c r="O63" s="48"/>
      <c r="P63" s="48"/>
      <c r="Q63" s="48"/>
      <c r="R63" s="48"/>
      <c r="S63" s="48"/>
      <c r="T63" s="48"/>
      <c r="U63" s="48"/>
      <c r="V63" s="48"/>
    </row>
    <row r="64" spans="2:22" s="46" customFormat="1" ht="15" customHeight="1">
      <c r="B64" s="48"/>
      <c r="C64" s="48"/>
      <c r="D64" s="48"/>
      <c r="E64" s="48"/>
      <c r="F64" s="48"/>
      <c r="G64" s="48"/>
      <c r="H64" s="48"/>
      <c r="I64" s="48"/>
      <c r="J64" s="48"/>
      <c r="K64" s="48"/>
      <c r="L64" s="48"/>
      <c r="M64" s="48"/>
      <c r="N64" s="48"/>
      <c r="O64" s="48"/>
      <c r="P64" s="48"/>
      <c r="Q64" s="48"/>
      <c r="R64" s="48"/>
      <c r="S64" s="48"/>
      <c r="T64" s="48"/>
      <c r="U64" s="48"/>
      <c r="V64" s="48"/>
    </row>
    <row r="65" spans="2:22" s="46" customFormat="1" ht="15" customHeight="1">
      <c r="B65" s="48"/>
      <c r="C65" s="48"/>
      <c r="D65" s="48"/>
      <c r="E65" s="48"/>
      <c r="F65" s="48"/>
      <c r="G65" s="48"/>
      <c r="H65" s="48"/>
      <c r="I65" s="48"/>
      <c r="J65" s="48"/>
      <c r="K65" s="48"/>
      <c r="L65" s="48"/>
      <c r="M65" s="48"/>
      <c r="N65" s="48"/>
      <c r="O65" s="48"/>
      <c r="P65" s="48"/>
      <c r="Q65" s="48"/>
      <c r="R65" s="48"/>
      <c r="S65" s="48"/>
      <c r="T65" s="48"/>
      <c r="U65" s="48"/>
      <c r="V65" s="48"/>
    </row>
    <row r="66" spans="2:22" s="46" customFormat="1" ht="15" customHeight="1">
      <c r="B66" s="48"/>
      <c r="C66" s="48"/>
      <c r="D66" s="48"/>
      <c r="E66" s="48"/>
      <c r="F66" s="48"/>
      <c r="G66" s="48"/>
      <c r="H66" s="48"/>
      <c r="I66" s="48"/>
      <c r="J66" s="48"/>
      <c r="K66" s="48"/>
      <c r="L66" s="48"/>
      <c r="M66" s="48"/>
      <c r="N66" s="48"/>
      <c r="O66" s="48"/>
      <c r="P66" s="48"/>
      <c r="Q66" s="48"/>
      <c r="R66" s="48"/>
      <c r="S66" s="48"/>
      <c r="T66" s="48"/>
      <c r="U66" s="48"/>
      <c r="V66" s="48"/>
    </row>
    <row r="67" spans="2:22" s="46" customFormat="1" ht="15" customHeight="1">
      <c r="B67" s="48"/>
      <c r="C67" s="48"/>
      <c r="D67" s="48"/>
      <c r="E67" s="48"/>
      <c r="F67" s="48"/>
      <c r="G67" s="48"/>
      <c r="H67" s="48"/>
      <c r="I67" s="48"/>
      <c r="J67" s="48"/>
      <c r="K67" s="48"/>
      <c r="L67" s="48"/>
      <c r="M67" s="48"/>
      <c r="N67" s="48"/>
      <c r="O67" s="48"/>
      <c r="P67" s="48"/>
      <c r="Q67" s="48"/>
      <c r="R67" s="48"/>
      <c r="S67" s="48"/>
      <c r="T67" s="48"/>
      <c r="U67" s="48"/>
      <c r="V67" s="48"/>
    </row>
    <row r="68" spans="2:22" s="46" customFormat="1" ht="15" customHeight="1">
      <c r="B68" s="48"/>
      <c r="C68" s="48"/>
      <c r="D68" s="48"/>
      <c r="E68" s="48"/>
      <c r="F68" s="48"/>
      <c r="G68" s="48"/>
      <c r="H68" s="48"/>
      <c r="I68" s="48"/>
      <c r="J68" s="48"/>
      <c r="K68" s="48"/>
      <c r="L68" s="48"/>
      <c r="M68" s="48"/>
      <c r="N68" s="48"/>
      <c r="O68" s="48"/>
      <c r="P68" s="48"/>
      <c r="Q68" s="48"/>
      <c r="R68" s="48"/>
      <c r="S68" s="48"/>
      <c r="T68" s="48"/>
      <c r="U68" s="48"/>
      <c r="V68" s="48"/>
    </row>
    <row r="69" spans="2:22" s="46" customFormat="1" ht="15" customHeight="1">
      <c r="B69" s="48"/>
      <c r="C69" s="48"/>
      <c r="D69" s="48"/>
      <c r="E69" s="48"/>
      <c r="F69" s="48"/>
      <c r="G69" s="48"/>
      <c r="H69" s="48"/>
      <c r="I69" s="48"/>
      <c r="J69" s="48"/>
      <c r="K69" s="48"/>
      <c r="L69" s="48"/>
      <c r="M69" s="48"/>
      <c r="N69" s="48"/>
      <c r="O69" s="48"/>
      <c r="P69" s="48"/>
      <c r="Q69" s="48"/>
      <c r="R69" s="48"/>
      <c r="S69" s="48"/>
      <c r="T69" s="48"/>
      <c r="U69" s="48"/>
      <c r="V69" s="48"/>
    </row>
    <row r="70" spans="2:22" s="46" customFormat="1" ht="15" customHeight="1">
      <c r="B70" s="48"/>
      <c r="C70" s="48"/>
      <c r="D70" s="48"/>
      <c r="E70" s="48"/>
      <c r="F70" s="48"/>
      <c r="G70" s="48"/>
      <c r="H70" s="48"/>
      <c r="I70" s="48"/>
      <c r="J70" s="48"/>
      <c r="K70" s="48"/>
      <c r="L70" s="48"/>
      <c r="M70" s="48"/>
      <c r="N70" s="48"/>
      <c r="O70" s="48"/>
      <c r="P70" s="48"/>
      <c r="Q70" s="48"/>
      <c r="R70" s="48"/>
      <c r="S70" s="48"/>
      <c r="T70" s="48"/>
      <c r="U70" s="48"/>
      <c r="V70" s="48"/>
    </row>
    <row r="71" spans="2:22" s="46" customFormat="1" ht="15" customHeight="1">
      <c r="B71" s="48"/>
      <c r="C71" s="48"/>
      <c r="D71" s="48"/>
      <c r="E71" s="48"/>
      <c r="F71" s="48"/>
      <c r="G71" s="48"/>
      <c r="H71" s="48"/>
      <c r="I71" s="48"/>
      <c r="J71" s="48"/>
      <c r="K71" s="48"/>
      <c r="L71" s="48"/>
      <c r="M71" s="48"/>
      <c r="N71" s="48"/>
      <c r="O71" s="48"/>
      <c r="P71" s="48"/>
      <c r="Q71" s="48"/>
      <c r="R71" s="48"/>
      <c r="S71" s="48"/>
      <c r="T71" s="48"/>
      <c r="U71" s="48"/>
      <c r="V71" s="48"/>
    </row>
    <row r="72" spans="2:22" s="46" customFormat="1" ht="15" customHeight="1">
      <c r="B72" s="48"/>
      <c r="C72" s="48"/>
      <c r="D72" s="48"/>
      <c r="E72" s="48"/>
      <c r="F72" s="48"/>
      <c r="G72" s="48"/>
      <c r="H72" s="48"/>
      <c r="I72" s="48"/>
      <c r="J72" s="48"/>
      <c r="K72" s="48"/>
      <c r="L72" s="48"/>
      <c r="M72" s="48"/>
      <c r="N72" s="48"/>
      <c r="O72" s="48"/>
      <c r="P72" s="48"/>
      <c r="Q72" s="48"/>
      <c r="R72" s="48"/>
      <c r="S72" s="48"/>
      <c r="T72" s="48"/>
      <c r="U72" s="48"/>
      <c r="V72" s="48"/>
    </row>
    <row r="73" spans="2:22" s="46" customFormat="1" ht="15" customHeight="1">
      <c r="B73" s="48"/>
      <c r="C73" s="48"/>
      <c r="D73" s="48"/>
      <c r="E73" s="48"/>
      <c r="F73" s="48"/>
      <c r="G73" s="48"/>
      <c r="H73" s="48"/>
      <c r="I73" s="48"/>
      <c r="J73" s="48"/>
      <c r="K73" s="48"/>
      <c r="L73" s="48"/>
      <c r="M73" s="48"/>
      <c r="N73" s="48"/>
      <c r="O73" s="48"/>
      <c r="P73" s="48"/>
      <c r="Q73" s="48"/>
      <c r="R73" s="48"/>
      <c r="S73" s="48"/>
      <c r="T73" s="48"/>
      <c r="U73" s="48"/>
      <c r="V73" s="48"/>
    </row>
    <row r="74" spans="2:22" s="46" customFormat="1" ht="15" customHeight="1">
      <c r="B74" s="48"/>
      <c r="C74" s="48"/>
      <c r="D74" s="48"/>
      <c r="E74" s="48"/>
      <c r="F74" s="48"/>
      <c r="G74" s="48"/>
      <c r="H74" s="48"/>
      <c r="I74" s="48"/>
      <c r="J74" s="48"/>
      <c r="K74" s="48"/>
      <c r="L74" s="48"/>
      <c r="M74" s="48"/>
      <c r="N74" s="48"/>
      <c r="O74" s="48"/>
      <c r="P74" s="48"/>
      <c r="Q74" s="48"/>
      <c r="R74" s="48"/>
      <c r="S74" s="48"/>
      <c r="T74" s="48"/>
      <c r="U74" s="48"/>
      <c r="V74" s="48"/>
    </row>
    <row r="75" spans="2:22" s="46" customFormat="1" ht="15" customHeight="1">
      <c r="B75" s="48"/>
      <c r="C75" s="48"/>
      <c r="D75" s="48"/>
      <c r="E75" s="48"/>
      <c r="F75" s="48"/>
      <c r="G75" s="48"/>
      <c r="H75" s="48"/>
      <c r="I75" s="48"/>
      <c r="J75" s="48"/>
      <c r="K75" s="48"/>
      <c r="L75" s="48"/>
      <c r="M75" s="48"/>
      <c r="N75" s="48"/>
      <c r="O75" s="48"/>
      <c r="P75" s="48"/>
      <c r="Q75" s="48"/>
      <c r="R75" s="48"/>
      <c r="S75" s="48"/>
      <c r="T75" s="48"/>
      <c r="U75" s="48"/>
      <c r="V75" s="48"/>
    </row>
    <row r="76" spans="2:22" s="46" customFormat="1" ht="15" customHeight="1">
      <c r="B76" s="48"/>
      <c r="C76" s="48"/>
      <c r="D76" s="48"/>
      <c r="E76" s="48"/>
      <c r="F76" s="48"/>
      <c r="G76" s="48"/>
      <c r="H76" s="48"/>
      <c r="I76" s="48"/>
      <c r="J76" s="48"/>
      <c r="K76" s="48"/>
      <c r="L76" s="48"/>
      <c r="M76" s="48"/>
      <c r="N76" s="48"/>
      <c r="O76" s="48"/>
      <c r="P76" s="48"/>
      <c r="Q76" s="48"/>
      <c r="R76" s="48"/>
      <c r="S76" s="48"/>
      <c r="T76" s="48"/>
      <c r="U76" s="48"/>
      <c r="V76" s="48"/>
    </row>
    <row r="77" spans="2:22" s="46" customFormat="1" ht="15" customHeight="1">
      <c r="B77" s="48"/>
      <c r="C77" s="48"/>
      <c r="D77" s="48"/>
      <c r="E77" s="48"/>
      <c r="F77" s="48"/>
      <c r="G77" s="48"/>
      <c r="H77" s="48"/>
      <c r="I77" s="48"/>
      <c r="J77" s="48"/>
      <c r="K77" s="48"/>
      <c r="L77" s="48"/>
      <c r="M77" s="48"/>
      <c r="N77" s="48"/>
      <c r="O77" s="48"/>
      <c r="P77" s="48"/>
      <c r="Q77" s="48"/>
      <c r="R77" s="48"/>
      <c r="S77" s="48"/>
      <c r="T77" s="48"/>
      <c r="U77" s="48"/>
      <c r="V77" s="48"/>
    </row>
    <row r="78" spans="2:22" s="46" customFormat="1" ht="15" customHeight="1">
      <c r="B78" s="48"/>
      <c r="C78" s="48"/>
      <c r="D78" s="48"/>
      <c r="E78" s="48"/>
      <c r="F78" s="48"/>
      <c r="G78" s="48"/>
      <c r="H78" s="48"/>
      <c r="I78" s="48"/>
      <c r="J78" s="48"/>
      <c r="K78" s="48"/>
      <c r="L78" s="48"/>
      <c r="M78" s="48"/>
      <c r="N78" s="48"/>
      <c r="O78" s="48"/>
      <c r="P78" s="48"/>
      <c r="Q78" s="48"/>
      <c r="R78" s="48"/>
      <c r="S78" s="48"/>
      <c r="T78" s="48"/>
      <c r="U78" s="48"/>
      <c r="V78" s="48"/>
    </row>
    <row r="79" spans="2:22" s="46" customFormat="1" ht="15" customHeight="1">
      <c r="B79" s="48"/>
      <c r="C79" s="48"/>
      <c r="D79" s="48"/>
      <c r="E79" s="48"/>
      <c r="F79" s="48"/>
      <c r="G79" s="48"/>
      <c r="H79" s="48"/>
      <c r="I79" s="48"/>
      <c r="J79" s="48"/>
      <c r="K79" s="48"/>
      <c r="L79" s="48"/>
      <c r="M79" s="48"/>
      <c r="N79" s="48"/>
      <c r="O79" s="48"/>
      <c r="P79" s="48"/>
      <c r="Q79" s="48"/>
      <c r="R79" s="48"/>
      <c r="S79" s="48"/>
      <c r="T79" s="48"/>
      <c r="U79" s="48"/>
      <c r="V79" s="48"/>
    </row>
    <row r="80" spans="2:22" s="46" customFormat="1" ht="15" customHeight="1">
      <c r="B80" s="48"/>
      <c r="C80" s="48"/>
      <c r="D80" s="48"/>
      <c r="E80" s="48"/>
      <c r="F80" s="48"/>
      <c r="G80" s="48"/>
      <c r="H80" s="48"/>
      <c r="I80" s="48"/>
      <c r="J80" s="48"/>
      <c r="K80" s="48"/>
      <c r="L80" s="48"/>
      <c r="M80" s="48"/>
      <c r="N80" s="48"/>
      <c r="O80" s="48"/>
      <c r="P80" s="48"/>
      <c r="Q80" s="48"/>
      <c r="R80" s="48"/>
      <c r="S80" s="48"/>
      <c r="T80" s="48"/>
      <c r="U80" s="48"/>
      <c r="V80" s="48"/>
    </row>
    <row r="81" spans="2:22" s="46" customFormat="1" ht="15" customHeight="1">
      <c r="B81" s="48"/>
      <c r="C81" s="48"/>
      <c r="D81" s="48"/>
      <c r="E81" s="48"/>
      <c r="F81" s="48"/>
      <c r="G81" s="48"/>
      <c r="H81" s="48"/>
      <c r="I81" s="48"/>
      <c r="J81" s="48"/>
      <c r="K81" s="48"/>
      <c r="L81" s="48"/>
      <c r="M81" s="48"/>
      <c r="N81" s="48"/>
      <c r="O81" s="48"/>
      <c r="P81" s="48"/>
      <c r="Q81" s="48"/>
      <c r="R81" s="48"/>
      <c r="S81" s="48"/>
      <c r="T81" s="48"/>
      <c r="U81" s="48"/>
      <c r="V81" s="48"/>
    </row>
    <row r="82" spans="2:22" s="46" customFormat="1" ht="15" customHeight="1">
      <c r="B82" s="48"/>
      <c r="C82" s="48"/>
      <c r="D82" s="48"/>
      <c r="E82" s="48"/>
      <c r="F82" s="48"/>
      <c r="G82" s="48"/>
      <c r="H82" s="48"/>
      <c r="I82" s="48"/>
      <c r="J82" s="48"/>
      <c r="K82" s="48"/>
      <c r="L82" s="48"/>
      <c r="M82" s="48"/>
      <c r="N82" s="48"/>
      <c r="O82" s="48"/>
      <c r="P82" s="48"/>
      <c r="Q82" s="48"/>
      <c r="R82" s="48"/>
      <c r="S82" s="48"/>
      <c r="T82" s="48"/>
      <c r="U82" s="48"/>
      <c r="V82" s="48"/>
    </row>
    <row r="83" spans="2:22" s="46" customFormat="1" ht="15" customHeight="1">
      <c r="B83" s="48"/>
      <c r="C83" s="48"/>
      <c r="D83" s="48"/>
      <c r="E83" s="48"/>
      <c r="F83" s="48"/>
      <c r="G83" s="48"/>
      <c r="H83" s="48"/>
      <c r="I83" s="48"/>
      <c r="J83" s="48"/>
      <c r="K83" s="48"/>
      <c r="L83" s="48"/>
      <c r="M83" s="48"/>
      <c r="N83" s="48"/>
      <c r="O83" s="48"/>
      <c r="P83" s="48"/>
      <c r="Q83" s="48"/>
      <c r="R83" s="48"/>
      <c r="S83" s="48"/>
      <c r="T83" s="48"/>
      <c r="U83" s="48"/>
      <c r="V83" s="48"/>
    </row>
    <row r="84" spans="2:22" s="46" customFormat="1" ht="15" customHeight="1">
      <c r="B84" s="48"/>
      <c r="C84" s="48"/>
      <c r="D84" s="48"/>
      <c r="E84" s="48"/>
      <c r="F84" s="48"/>
      <c r="G84" s="48"/>
      <c r="H84" s="48"/>
      <c r="I84" s="48"/>
      <c r="J84" s="48"/>
      <c r="K84" s="48"/>
      <c r="L84" s="48"/>
      <c r="M84" s="48"/>
      <c r="N84" s="48"/>
      <c r="O84" s="48"/>
      <c r="P84" s="48"/>
      <c r="Q84" s="48"/>
      <c r="R84" s="48"/>
      <c r="S84" s="48"/>
      <c r="T84" s="48"/>
      <c r="U84" s="48"/>
      <c r="V84" s="48"/>
    </row>
    <row r="85" spans="2:22" s="46" customFormat="1" ht="15" customHeight="1">
      <c r="B85" s="48"/>
      <c r="C85" s="48"/>
      <c r="D85" s="48"/>
      <c r="E85" s="48"/>
      <c r="F85" s="48"/>
      <c r="G85" s="48"/>
      <c r="H85" s="48"/>
      <c r="I85" s="48"/>
      <c r="J85" s="48"/>
      <c r="K85" s="48"/>
      <c r="L85" s="48"/>
      <c r="M85" s="48"/>
      <c r="N85" s="48"/>
      <c r="O85" s="48"/>
      <c r="P85" s="48"/>
      <c r="Q85" s="48"/>
      <c r="R85" s="48"/>
      <c r="S85" s="48"/>
      <c r="T85" s="48"/>
      <c r="U85" s="48"/>
      <c r="V85" s="48"/>
    </row>
    <row r="86" spans="2:22" s="46" customFormat="1" ht="15" customHeight="1">
      <c r="B86" s="48"/>
      <c r="C86" s="48"/>
      <c r="D86" s="48"/>
      <c r="E86" s="48"/>
      <c r="F86" s="48"/>
      <c r="G86" s="48"/>
      <c r="H86" s="48"/>
      <c r="I86" s="48"/>
      <c r="J86" s="48"/>
      <c r="K86" s="48"/>
      <c r="L86" s="48"/>
      <c r="M86" s="48"/>
      <c r="N86" s="48"/>
      <c r="O86" s="48"/>
      <c r="P86" s="48"/>
      <c r="Q86" s="48"/>
      <c r="R86" s="48"/>
      <c r="S86" s="48"/>
      <c r="T86" s="48"/>
      <c r="U86" s="48"/>
      <c r="V86" s="48"/>
    </row>
    <row r="87" spans="2:22" s="46" customFormat="1" ht="15" customHeight="1">
      <c r="B87" s="48"/>
      <c r="C87" s="48"/>
      <c r="D87" s="48"/>
      <c r="E87" s="48"/>
      <c r="F87" s="48"/>
      <c r="G87" s="48"/>
      <c r="H87" s="48"/>
      <c r="I87" s="48"/>
      <c r="J87" s="48"/>
      <c r="K87" s="48"/>
      <c r="L87" s="48"/>
      <c r="M87" s="48"/>
      <c r="N87" s="48"/>
      <c r="O87" s="48"/>
      <c r="P87" s="48"/>
      <c r="Q87" s="48"/>
      <c r="R87" s="48"/>
      <c r="S87" s="48"/>
      <c r="T87" s="48"/>
      <c r="U87" s="48"/>
      <c r="V87" s="48"/>
    </row>
    <row r="88" spans="2:22" s="46" customFormat="1" ht="15" customHeight="1">
      <c r="B88" s="48"/>
      <c r="C88" s="48"/>
      <c r="D88" s="48"/>
      <c r="E88" s="48"/>
      <c r="F88" s="48"/>
      <c r="G88" s="48"/>
      <c r="H88" s="48"/>
      <c r="I88" s="48"/>
      <c r="J88" s="48"/>
      <c r="K88" s="48"/>
      <c r="L88" s="48"/>
      <c r="M88" s="48"/>
      <c r="N88" s="48"/>
      <c r="O88" s="48"/>
      <c r="P88" s="48"/>
      <c r="Q88" s="48"/>
      <c r="R88" s="48"/>
      <c r="S88" s="48"/>
      <c r="T88" s="48"/>
      <c r="U88" s="48"/>
      <c r="V88" s="48"/>
    </row>
    <row r="89" spans="2:22" s="46" customFormat="1" ht="15" customHeight="1">
      <c r="B89" s="48"/>
      <c r="C89" s="48"/>
      <c r="D89" s="48"/>
      <c r="E89" s="48"/>
      <c r="F89" s="48"/>
      <c r="G89" s="48"/>
      <c r="H89" s="48"/>
      <c r="I89" s="48"/>
      <c r="J89" s="48"/>
      <c r="K89" s="48"/>
      <c r="L89" s="48"/>
      <c r="M89" s="48"/>
      <c r="N89" s="48"/>
      <c r="O89" s="48"/>
      <c r="P89" s="48"/>
      <c r="Q89" s="48"/>
      <c r="R89" s="48"/>
      <c r="S89" s="48"/>
      <c r="T89" s="48"/>
      <c r="U89" s="48"/>
      <c r="V89" s="48"/>
    </row>
    <row r="90" spans="2:22" s="46" customFormat="1" ht="15" customHeight="1">
      <c r="B90" s="48"/>
      <c r="C90" s="48"/>
      <c r="D90" s="48"/>
      <c r="E90" s="48"/>
      <c r="F90" s="48"/>
      <c r="G90" s="48"/>
      <c r="H90" s="48"/>
      <c r="I90" s="48"/>
      <c r="J90" s="48"/>
      <c r="K90" s="48"/>
      <c r="L90" s="48"/>
      <c r="M90" s="48"/>
      <c r="N90" s="48"/>
      <c r="O90" s="48"/>
      <c r="P90" s="48"/>
      <c r="Q90" s="48"/>
      <c r="R90" s="48"/>
      <c r="S90" s="48"/>
      <c r="T90" s="48"/>
      <c r="U90" s="48"/>
      <c r="V90" s="48"/>
    </row>
    <row r="91" spans="2:22" s="46" customFormat="1" ht="15" customHeight="1">
      <c r="B91" s="48"/>
      <c r="C91" s="48"/>
      <c r="D91" s="48"/>
      <c r="E91" s="48"/>
      <c r="F91" s="48"/>
      <c r="G91" s="48"/>
      <c r="H91" s="48"/>
      <c r="I91" s="48"/>
      <c r="J91" s="48"/>
      <c r="K91" s="48"/>
      <c r="L91" s="48"/>
      <c r="M91" s="48"/>
      <c r="N91" s="48"/>
      <c r="O91" s="48"/>
      <c r="P91" s="48"/>
      <c r="Q91" s="48"/>
      <c r="R91" s="48"/>
      <c r="S91" s="48"/>
      <c r="T91" s="48"/>
      <c r="U91" s="48"/>
      <c r="V91" s="48"/>
    </row>
    <row r="92" spans="2:22" s="46" customFormat="1" ht="15" customHeight="1">
      <c r="B92" s="48"/>
      <c r="C92" s="48"/>
      <c r="D92" s="48"/>
      <c r="E92" s="48"/>
      <c r="F92" s="48"/>
      <c r="G92" s="48"/>
      <c r="H92" s="48"/>
      <c r="I92" s="48"/>
      <c r="J92" s="48"/>
      <c r="K92" s="48"/>
      <c r="L92" s="48"/>
      <c r="M92" s="48"/>
      <c r="N92" s="48"/>
      <c r="O92" s="48"/>
      <c r="P92" s="48"/>
      <c r="Q92" s="48"/>
      <c r="R92" s="48"/>
      <c r="S92" s="48"/>
      <c r="T92" s="48"/>
      <c r="U92" s="48"/>
      <c r="V92" s="48"/>
    </row>
    <row r="93" spans="2:22" s="46" customFormat="1" ht="15" customHeight="1">
      <c r="B93" s="48"/>
      <c r="C93" s="48"/>
      <c r="D93" s="48"/>
      <c r="E93" s="48"/>
      <c r="F93" s="48"/>
      <c r="G93" s="48"/>
      <c r="H93" s="48"/>
      <c r="I93" s="48"/>
      <c r="J93" s="48"/>
      <c r="K93" s="48"/>
      <c r="L93" s="48"/>
      <c r="M93" s="48"/>
      <c r="N93" s="48"/>
      <c r="O93" s="48"/>
      <c r="P93" s="48"/>
      <c r="Q93" s="48"/>
      <c r="R93" s="48"/>
      <c r="S93" s="48"/>
      <c r="T93" s="48"/>
      <c r="U93" s="48"/>
      <c r="V93" s="48"/>
    </row>
    <row r="94" spans="2:22" s="46" customFormat="1" ht="15" customHeight="1">
      <c r="B94" s="48"/>
      <c r="C94" s="48"/>
      <c r="D94" s="48"/>
      <c r="E94" s="48"/>
      <c r="F94" s="48"/>
      <c r="G94" s="48"/>
      <c r="H94" s="48"/>
      <c r="I94" s="48"/>
      <c r="J94" s="48"/>
      <c r="K94" s="48"/>
      <c r="L94" s="48"/>
      <c r="M94" s="48"/>
      <c r="N94" s="48"/>
      <c r="O94" s="48"/>
      <c r="P94" s="48"/>
      <c r="Q94" s="48"/>
      <c r="R94" s="48"/>
      <c r="S94" s="48"/>
      <c r="T94" s="48"/>
      <c r="U94" s="48"/>
      <c r="V94" s="48"/>
    </row>
    <row r="95" spans="2:22" s="46" customFormat="1" ht="15" customHeight="1">
      <c r="B95" s="48"/>
      <c r="C95" s="48"/>
      <c r="D95" s="48"/>
      <c r="E95" s="48"/>
      <c r="F95" s="48"/>
      <c r="G95" s="48"/>
      <c r="H95" s="48"/>
      <c r="I95" s="48"/>
      <c r="J95" s="48"/>
      <c r="K95" s="48"/>
      <c r="L95" s="48"/>
      <c r="M95" s="48"/>
      <c r="N95" s="48"/>
      <c r="O95" s="48"/>
      <c r="P95" s="48"/>
      <c r="Q95" s="48"/>
      <c r="R95" s="48"/>
      <c r="S95" s="48"/>
      <c r="T95" s="48"/>
      <c r="U95" s="48"/>
      <c r="V95" s="48"/>
    </row>
    <row r="96" spans="2:22" s="46" customFormat="1" ht="15" customHeight="1">
      <c r="B96" s="48"/>
      <c r="C96" s="48"/>
      <c r="D96" s="48"/>
      <c r="E96" s="48"/>
      <c r="F96" s="48"/>
      <c r="G96" s="48"/>
      <c r="H96" s="48"/>
      <c r="I96" s="48"/>
      <c r="J96" s="48"/>
      <c r="K96" s="48"/>
      <c r="L96" s="48"/>
      <c r="M96" s="48"/>
      <c r="N96" s="48"/>
      <c r="O96" s="48"/>
      <c r="P96" s="48"/>
      <c r="Q96" s="48"/>
      <c r="R96" s="48"/>
      <c r="S96" s="48"/>
      <c r="T96" s="48"/>
      <c r="U96" s="48"/>
      <c r="V96" s="48"/>
    </row>
    <row r="97" spans="2:22" s="46" customFormat="1" ht="15" customHeight="1">
      <c r="B97" s="48"/>
      <c r="C97" s="48"/>
      <c r="D97" s="48"/>
      <c r="E97" s="48"/>
      <c r="F97" s="48"/>
      <c r="G97" s="48"/>
      <c r="H97" s="48"/>
      <c r="I97" s="48"/>
      <c r="J97" s="48"/>
      <c r="K97" s="48"/>
      <c r="L97" s="48"/>
      <c r="M97" s="48"/>
      <c r="N97" s="48"/>
      <c r="O97" s="48"/>
      <c r="P97" s="48"/>
      <c r="Q97" s="48"/>
      <c r="R97" s="48"/>
      <c r="S97" s="48"/>
      <c r="T97" s="48"/>
      <c r="U97" s="48"/>
      <c r="V97" s="48"/>
    </row>
    <row r="98" spans="2:22" s="46" customFormat="1" ht="15" customHeight="1">
      <c r="B98" s="48"/>
      <c r="C98" s="48"/>
      <c r="D98" s="48"/>
      <c r="E98" s="48"/>
      <c r="F98" s="48"/>
      <c r="G98" s="48"/>
      <c r="H98" s="48"/>
      <c r="I98" s="48"/>
      <c r="J98" s="48"/>
      <c r="K98" s="48"/>
      <c r="L98" s="48"/>
      <c r="M98" s="48"/>
      <c r="N98" s="48"/>
      <c r="O98" s="48"/>
      <c r="P98" s="48"/>
      <c r="Q98" s="48"/>
      <c r="R98" s="48"/>
      <c r="S98" s="48"/>
      <c r="T98" s="48"/>
      <c r="U98" s="48"/>
      <c r="V98" s="48"/>
    </row>
    <row r="99" spans="2:22" s="46" customFormat="1" ht="15" customHeight="1">
      <c r="B99" s="48"/>
      <c r="C99" s="48"/>
      <c r="D99" s="48"/>
      <c r="E99" s="48"/>
      <c r="F99" s="48"/>
      <c r="G99" s="48"/>
      <c r="H99" s="48"/>
      <c r="I99" s="48"/>
      <c r="J99" s="48"/>
      <c r="K99" s="48"/>
      <c r="L99" s="48"/>
      <c r="M99" s="48"/>
      <c r="N99" s="48"/>
      <c r="O99" s="48"/>
      <c r="P99" s="48"/>
      <c r="Q99" s="48"/>
      <c r="R99" s="48"/>
      <c r="S99" s="48"/>
      <c r="T99" s="48"/>
      <c r="U99" s="48"/>
      <c r="V99" s="48"/>
    </row>
    <row r="100" spans="2:22" s="46" customFormat="1" ht="15" customHeight="1">
      <c r="B100" s="48"/>
      <c r="C100" s="48"/>
      <c r="D100" s="48"/>
      <c r="E100" s="48"/>
      <c r="F100" s="48"/>
      <c r="G100" s="48"/>
      <c r="H100" s="48"/>
      <c r="I100" s="48"/>
      <c r="J100" s="48"/>
      <c r="K100" s="48"/>
      <c r="L100" s="48"/>
      <c r="M100" s="48"/>
      <c r="N100" s="48"/>
      <c r="O100" s="48"/>
      <c r="P100" s="48"/>
      <c r="Q100" s="48"/>
      <c r="R100" s="48"/>
      <c r="S100" s="48"/>
      <c r="T100" s="48"/>
      <c r="U100" s="48"/>
      <c r="V100" s="48"/>
    </row>
    <row r="101" spans="2:22" s="46" customFormat="1" ht="15" customHeight="1">
      <c r="B101" s="48"/>
      <c r="C101" s="48"/>
      <c r="D101" s="48"/>
      <c r="E101" s="48"/>
      <c r="F101" s="48"/>
      <c r="G101" s="48"/>
      <c r="H101" s="48"/>
      <c r="I101" s="48"/>
      <c r="J101" s="48"/>
      <c r="K101" s="48"/>
      <c r="L101" s="48"/>
      <c r="M101" s="48"/>
      <c r="N101" s="48"/>
      <c r="O101" s="48"/>
      <c r="P101" s="48"/>
      <c r="Q101" s="48"/>
      <c r="R101" s="48"/>
      <c r="S101" s="48"/>
      <c r="T101" s="48"/>
      <c r="U101" s="48"/>
      <c r="V101" s="48"/>
    </row>
    <row r="102" spans="2:22" s="46" customFormat="1" ht="15" customHeight="1">
      <c r="B102" s="48"/>
      <c r="C102" s="48"/>
      <c r="D102" s="48"/>
      <c r="E102" s="48"/>
      <c r="F102" s="48"/>
      <c r="G102" s="48"/>
      <c r="H102" s="48"/>
      <c r="I102" s="48"/>
      <c r="J102" s="48"/>
      <c r="K102" s="48"/>
      <c r="L102" s="48"/>
      <c r="M102" s="48"/>
      <c r="N102" s="48"/>
      <c r="O102" s="48"/>
      <c r="P102" s="48"/>
      <c r="Q102" s="48"/>
      <c r="R102" s="48"/>
      <c r="S102" s="48"/>
      <c r="T102" s="48"/>
      <c r="U102" s="48"/>
      <c r="V102" s="48"/>
    </row>
    <row r="103" spans="2:22" s="46" customFormat="1" ht="15" customHeight="1">
      <c r="B103" s="48"/>
      <c r="C103" s="48"/>
      <c r="D103" s="48"/>
      <c r="E103" s="48"/>
      <c r="F103" s="48"/>
      <c r="G103" s="48"/>
      <c r="H103" s="48"/>
      <c r="I103" s="48"/>
      <c r="J103" s="48"/>
      <c r="K103" s="48"/>
      <c r="L103" s="48"/>
      <c r="M103" s="48"/>
      <c r="N103" s="48"/>
      <c r="O103" s="48"/>
      <c r="P103" s="48"/>
      <c r="Q103" s="48"/>
      <c r="R103" s="48"/>
      <c r="S103" s="48"/>
      <c r="T103" s="48"/>
      <c r="U103" s="48"/>
      <c r="V103" s="48"/>
    </row>
    <row r="104" spans="2:22" s="46" customFormat="1" ht="15" customHeight="1">
      <c r="B104" s="48"/>
      <c r="C104" s="48"/>
      <c r="D104" s="48"/>
      <c r="E104" s="48"/>
      <c r="F104" s="48"/>
      <c r="G104" s="48"/>
      <c r="H104" s="48"/>
      <c r="I104" s="48"/>
      <c r="J104" s="48"/>
      <c r="K104" s="48"/>
      <c r="L104" s="48"/>
      <c r="M104" s="48"/>
      <c r="N104" s="48"/>
      <c r="O104" s="48"/>
      <c r="P104" s="48"/>
      <c r="Q104" s="48"/>
      <c r="R104" s="48"/>
      <c r="S104" s="48"/>
      <c r="T104" s="48"/>
      <c r="U104" s="48"/>
      <c r="V104" s="48"/>
    </row>
    <row r="105" spans="2:22" s="46" customFormat="1" ht="15" customHeight="1">
      <c r="B105" s="48"/>
      <c r="C105" s="48"/>
      <c r="D105" s="48"/>
      <c r="E105" s="48"/>
      <c r="F105" s="48"/>
      <c r="G105" s="48"/>
      <c r="H105" s="48"/>
      <c r="I105" s="48"/>
      <c r="J105" s="48"/>
      <c r="K105" s="48"/>
      <c r="L105" s="48"/>
      <c r="M105" s="48"/>
      <c r="N105" s="48"/>
      <c r="O105" s="48"/>
      <c r="P105" s="48"/>
      <c r="Q105" s="48"/>
      <c r="R105" s="48"/>
      <c r="S105" s="48"/>
      <c r="T105" s="48"/>
      <c r="U105" s="48"/>
      <c r="V105" s="48"/>
    </row>
    <row r="106" spans="2:22" s="46" customFormat="1" ht="15" customHeight="1">
      <c r="B106" s="48"/>
      <c r="C106" s="48"/>
      <c r="D106" s="48"/>
      <c r="E106" s="48"/>
      <c r="F106" s="48"/>
      <c r="G106" s="48"/>
      <c r="H106" s="48"/>
      <c r="I106" s="48"/>
      <c r="J106" s="48"/>
      <c r="K106" s="48"/>
      <c r="L106" s="48"/>
      <c r="M106" s="48"/>
      <c r="N106" s="48"/>
      <c r="O106" s="48"/>
      <c r="P106" s="48"/>
      <c r="Q106" s="48"/>
      <c r="R106" s="48"/>
      <c r="S106" s="48"/>
      <c r="T106" s="48"/>
      <c r="U106" s="48"/>
      <c r="V106" s="48"/>
    </row>
    <row r="107" spans="2:22" s="46" customFormat="1" ht="15" customHeight="1">
      <c r="B107" s="48"/>
      <c r="C107" s="48"/>
      <c r="D107" s="48"/>
      <c r="E107" s="48"/>
      <c r="F107" s="48"/>
      <c r="G107" s="48"/>
      <c r="H107" s="48"/>
      <c r="I107" s="48"/>
      <c r="J107" s="48"/>
      <c r="K107" s="48"/>
      <c r="L107" s="48"/>
      <c r="M107" s="48"/>
      <c r="N107" s="48"/>
      <c r="O107" s="48"/>
      <c r="P107" s="48"/>
      <c r="Q107" s="48"/>
      <c r="R107" s="48"/>
      <c r="S107" s="48"/>
      <c r="T107" s="48"/>
      <c r="U107" s="48"/>
      <c r="V107" s="48"/>
    </row>
    <row r="108" spans="2:22" s="46" customFormat="1" ht="15" customHeight="1">
      <c r="B108" s="48"/>
      <c r="C108" s="48"/>
      <c r="D108" s="48"/>
      <c r="E108" s="48"/>
      <c r="F108" s="48"/>
      <c r="G108" s="48"/>
      <c r="H108" s="48"/>
      <c r="I108" s="48"/>
      <c r="J108" s="48"/>
      <c r="K108" s="48"/>
      <c r="L108" s="48"/>
      <c r="M108" s="48"/>
      <c r="N108" s="48"/>
      <c r="O108" s="48"/>
      <c r="P108" s="48"/>
      <c r="Q108" s="48"/>
      <c r="R108" s="48"/>
      <c r="S108" s="48"/>
      <c r="T108" s="48"/>
      <c r="U108" s="48"/>
      <c r="V108" s="48"/>
    </row>
    <row r="109" spans="2:22" s="46" customFormat="1" ht="15" customHeight="1">
      <c r="B109" s="48"/>
      <c r="C109" s="48"/>
      <c r="D109" s="48"/>
      <c r="E109" s="48"/>
      <c r="F109" s="48"/>
      <c r="G109" s="48"/>
      <c r="H109" s="48"/>
      <c r="I109" s="48"/>
      <c r="J109" s="48"/>
      <c r="K109" s="48"/>
      <c r="L109" s="48"/>
      <c r="M109" s="48"/>
      <c r="N109" s="48"/>
      <c r="O109" s="48"/>
      <c r="P109" s="48"/>
      <c r="Q109" s="48"/>
      <c r="R109" s="48"/>
      <c r="S109" s="48"/>
      <c r="T109" s="48"/>
      <c r="U109" s="48"/>
      <c r="V109" s="48"/>
    </row>
    <row r="110" spans="2:22" s="46" customFormat="1" ht="15" customHeight="1">
      <c r="B110" s="48"/>
      <c r="C110" s="48"/>
      <c r="D110" s="48"/>
      <c r="E110" s="48"/>
      <c r="F110" s="48"/>
      <c r="G110" s="48"/>
      <c r="H110" s="48"/>
      <c r="I110" s="48"/>
      <c r="J110" s="48"/>
      <c r="K110" s="48"/>
      <c r="L110" s="48"/>
      <c r="M110" s="48"/>
      <c r="N110" s="48"/>
      <c r="O110" s="48"/>
      <c r="P110" s="48"/>
      <c r="Q110" s="48"/>
      <c r="R110" s="48"/>
      <c r="S110" s="48"/>
      <c r="T110" s="48"/>
      <c r="U110" s="48"/>
      <c r="V110" s="48"/>
    </row>
    <row r="111" spans="2:22" s="46" customFormat="1" ht="15" customHeight="1">
      <c r="B111" s="48"/>
      <c r="C111" s="48"/>
      <c r="D111" s="48"/>
      <c r="E111" s="48"/>
      <c r="F111" s="48"/>
      <c r="G111" s="48"/>
      <c r="H111" s="48"/>
      <c r="I111" s="48"/>
      <c r="J111" s="48"/>
      <c r="K111" s="48"/>
      <c r="L111" s="48"/>
      <c r="M111" s="48"/>
      <c r="N111" s="48"/>
      <c r="O111" s="48"/>
      <c r="P111" s="48"/>
      <c r="Q111" s="48"/>
      <c r="R111" s="48"/>
      <c r="S111" s="48"/>
      <c r="T111" s="48"/>
      <c r="U111" s="48"/>
      <c r="V111" s="48"/>
    </row>
    <row r="112" spans="2:22" s="46" customFormat="1" ht="15" customHeight="1">
      <c r="B112" s="48"/>
      <c r="C112" s="48"/>
      <c r="D112" s="48"/>
      <c r="E112" s="48"/>
      <c r="F112" s="48"/>
      <c r="G112" s="48"/>
      <c r="H112" s="48"/>
      <c r="I112" s="48"/>
      <c r="J112" s="48"/>
      <c r="K112" s="48"/>
      <c r="L112" s="48"/>
      <c r="M112" s="48"/>
      <c r="N112" s="48"/>
      <c r="O112" s="48"/>
      <c r="P112" s="48"/>
      <c r="Q112" s="48"/>
      <c r="R112" s="48"/>
      <c r="S112" s="48"/>
      <c r="T112" s="48"/>
      <c r="U112" s="48"/>
      <c r="V112" s="48"/>
    </row>
    <row r="113" spans="2:22" s="46" customFormat="1" ht="15" customHeight="1">
      <c r="B113" s="48"/>
      <c r="C113" s="48"/>
      <c r="D113" s="48"/>
      <c r="E113" s="48"/>
      <c r="F113" s="48"/>
      <c r="G113" s="48"/>
      <c r="H113" s="48"/>
      <c r="I113" s="48"/>
      <c r="J113" s="48"/>
      <c r="K113" s="48"/>
      <c r="L113" s="48"/>
      <c r="M113" s="48"/>
      <c r="N113" s="48"/>
      <c r="O113" s="48"/>
      <c r="P113" s="48"/>
      <c r="Q113" s="48"/>
      <c r="R113" s="48"/>
      <c r="S113" s="48"/>
      <c r="T113" s="48"/>
      <c r="U113" s="48"/>
      <c r="V113" s="48"/>
    </row>
    <row r="114" spans="2:22" s="46" customFormat="1" ht="15" customHeight="1">
      <c r="B114" s="48"/>
      <c r="C114" s="48"/>
      <c r="D114" s="48"/>
      <c r="E114" s="48"/>
      <c r="F114" s="48"/>
      <c r="G114" s="48"/>
      <c r="H114" s="48"/>
      <c r="I114" s="48"/>
      <c r="J114" s="48"/>
      <c r="K114" s="48"/>
      <c r="L114" s="48"/>
      <c r="M114" s="48"/>
      <c r="N114" s="48"/>
      <c r="O114" s="48"/>
      <c r="P114" s="48"/>
      <c r="Q114" s="48"/>
      <c r="R114" s="48"/>
      <c r="S114" s="48"/>
      <c r="T114" s="48"/>
      <c r="U114" s="48"/>
      <c r="V114" s="48"/>
    </row>
    <row r="115" spans="2:22" s="46" customFormat="1" ht="15" customHeight="1">
      <c r="B115" s="48"/>
      <c r="C115" s="48"/>
      <c r="D115" s="48"/>
      <c r="E115" s="48"/>
      <c r="F115" s="48"/>
      <c r="G115" s="48"/>
      <c r="H115" s="48"/>
      <c r="I115" s="48"/>
      <c r="J115" s="48"/>
      <c r="K115" s="48"/>
      <c r="L115" s="48"/>
      <c r="M115" s="48"/>
      <c r="N115" s="48"/>
      <c r="O115" s="48"/>
      <c r="P115" s="48"/>
      <c r="Q115" s="48"/>
      <c r="R115" s="48"/>
      <c r="S115" s="48"/>
      <c r="T115" s="48"/>
      <c r="U115" s="48"/>
      <c r="V115" s="48"/>
    </row>
    <row r="116" spans="2:22" s="46" customFormat="1" ht="15" customHeight="1">
      <c r="B116" s="48"/>
      <c r="C116" s="48"/>
      <c r="D116" s="48"/>
      <c r="E116" s="48"/>
      <c r="F116" s="48"/>
      <c r="G116" s="48"/>
      <c r="H116" s="48"/>
      <c r="I116" s="48"/>
      <c r="J116" s="48"/>
      <c r="K116" s="48"/>
      <c r="L116" s="48"/>
      <c r="M116" s="48"/>
      <c r="N116" s="48"/>
      <c r="O116" s="48"/>
      <c r="P116" s="48"/>
      <c r="Q116" s="48"/>
      <c r="R116" s="48"/>
      <c r="S116" s="48"/>
      <c r="T116" s="48"/>
      <c r="U116" s="48"/>
      <c r="V116" s="48"/>
    </row>
    <row r="117" spans="2:22" s="46" customFormat="1" ht="15" customHeight="1">
      <c r="B117" s="48"/>
      <c r="C117" s="48"/>
      <c r="D117" s="48"/>
      <c r="E117" s="48"/>
      <c r="F117" s="48"/>
      <c r="G117" s="48"/>
      <c r="H117" s="48"/>
      <c r="I117" s="48"/>
      <c r="J117" s="48"/>
      <c r="K117" s="48"/>
      <c r="L117" s="48"/>
      <c r="M117" s="48"/>
      <c r="N117" s="48"/>
      <c r="O117" s="48"/>
      <c r="P117" s="48"/>
      <c r="Q117" s="48"/>
      <c r="R117" s="48"/>
      <c r="S117" s="48"/>
      <c r="T117" s="48"/>
      <c r="U117" s="48"/>
      <c r="V117" s="48"/>
    </row>
    <row r="118" spans="2:22" s="46" customFormat="1" ht="15" customHeight="1">
      <c r="B118" s="48"/>
      <c r="C118" s="48"/>
      <c r="D118" s="48"/>
      <c r="E118" s="48"/>
      <c r="F118" s="48"/>
      <c r="G118" s="48"/>
      <c r="H118" s="48"/>
      <c r="I118" s="48"/>
      <c r="J118" s="48"/>
      <c r="K118" s="48"/>
      <c r="L118" s="48"/>
      <c r="M118" s="48"/>
      <c r="N118" s="48"/>
      <c r="O118" s="48"/>
      <c r="P118" s="48"/>
      <c r="Q118" s="48"/>
      <c r="R118" s="48"/>
      <c r="S118" s="48"/>
      <c r="T118" s="48"/>
      <c r="U118" s="48"/>
      <c r="V118" s="48"/>
    </row>
    <row r="119" spans="2:22" s="46" customFormat="1" ht="15" customHeight="1">
      <c r="B119" s="48"/>
      <c r="C119" s="48"/>
      <c r="D119" s="48"/>
      <c r="E119" s="48"/>
      <c r="F119" s="48"/>
      <c r="G119" s="48"/>
      <c r="H119" s="48"/>
      <c r="I119" s="48"/>
      <c r="J119" s="48"/>
      <c r="K119" s="48"/>
      <c r="L119" s="48"/>
      <c r="M119" s="48"/>
      <c r="N119" s="48"/>
      <c r="O119" s="48"/>
      <c r="P119" s="48"/>
      <c r="Q119" s="48"/>
      <c r="R119" s="48"/>
      <c r="S119" s="48"/>
      <c r="T119" s="48"/>
      <c r="U119" s="48"/>
      <c r="V119" s="48"/>
    </row>
    <row r="120" spans="2:22" s="46" customFormat="1" ht="15" customHeight="1">
      <c r="B120" s="48"/>
      <c r="C120" s="48"/>
      <c r="D120" s="48"/>
      <c r="E120" s="48"/>
      <c r="F120" s="48"/>
      <c r="G120" s="48"/>
      <c r="H120" s="48"/>
      <c r="I120" s="48"/>
      <c r="J120" s="48"/>
      <c r="K120" s="48"/>
      <c r="L120" s="48"/>
      <c r="M120" s="48"/>
      <c r="N120" s="48"/>
      <c r="O120" s="48"/>
      <c r="P120" s="48"/>
      <c r="Q120" s="48"/>
      <c r="R120" s="48"/>
      <c r="S120" s="48"/>
      <c r="T120" s="48"/>
      <c r="U120" s="48"/>
      <c r="V120" s="48"/>
    </row>
    <row r="121" spans="2:22" s="46" customFormat="1" ht="15" customHeight="1">
      <c r="B121" s="48"/>
      <c r="C121" s="48"/>
      <c r="D121" s="48"/>
      <c r="E121" s="48"/>
      <c r="F121" s="48"/>
      <c r="G121" s="48"/>
      <c r="H121" s="48"/>
      <c r="I121" s="48"/>
      <c r="J121" s="48"/>
      <c r="K121" s="48"/>
      <c r="L121" s="48"/>
      <c r="M121" s="48"/>
      <c r="N121" s="48"/>
      <c r="O121" s="48"/>
      <c r="P121" s="48"/>
      <c r="Q121" s="48"/>
      <c r="R121" s="48"/>
      <c r="S121" s="48"/>
      <c r="T121" s="48"/>
      <c r="U121" s="48"/>
      <c r="V121" s="48"/>
    </row>
    <row r="122" spans="2:22" s="46" customFormat="1" ht="15" customHeight="1">
      <c r="B122" s="48"/>
      <c r="C122" s="48"/>
      <c r="D122" s="48"/>
      <c r="E122" s="48"/>
      <c r="F122" s="48"/>
      <c r="G122" s="48"/>
      <c r="H122" s="48"/>
      <c r="I122" s="48"/>
      <c r="J122" s="48"/>
      <c r="K122" s="48"/>
      <c r="L122" s="48"/>
      <c r="M122" s="48"/>
      <c r="N122" s="48"/>
      <c r="O122" s="48"/>
      <c r="P122" s="48"/>
      <c r="Q122" s="48"/>
      <c r="R122" s="48"/>
      <c r="S122" s="48"/>
      <c r="T122" s="48"/>
      <c r="U122" s="48"/>
      <c r="V122" s="48"/>
    </row>
    <row r="123" spans="2:22" s="46" customFormat="1" ht="15" customHeight="1">
      <c r="B123" s="48"/>
      <c r="C123" s="48"/>
      <c r="D123" s="48"/>
      <c r="E123" s="48"/>
      <c r="F123" s="48"/>
      <c r="G123" s="48"/>
      <c r="H123" s="48"/>
      <c r="I123" s="48"/>
      <c r="J123" s="48"/>
      <c r="K123" s="48"/>
      <c r="L123" s="48"/>
      <c r="M123" s="48"/>
      <c r="N123" s="48"/>
      <c r="O123" s="48"/>
      <c r="P123" s="48"/>
      <c r="Q123" s="48"/>
      <c r="R123" s="48"/>
      <c r="S123" s="48"/>
      <c r="T123" s="48"/>
      <c r="U123" s="48"/>
      <c r="V123" s="48"/>
    </row>
    <row r="124" spans="2:22" s="46" customFormat="1" ht="15" customHeight="1">
      <c r="B124" s="48"/>
      <c r="C124" s="48"/>
      <c r="D124" s="48"/>
      <c r="E124" s="48"/>
      <c r="F124" s="48"/>
      <c r="G124" s="48"/>
      <c r="H124" s="48"/>
      <c r="I124" s="48"/>
      <c r="J124" s="48"/>
      <c r="K124" s="48"/>
      <c r="L124" s="48"/>
      <c r="M124" s="48"/>
      <c r="N124" s="48"/>
      <c r="O124" s="48"/>
      <c r="P124" s="48"/>
      <c r="Q124" s="48"/>
      <c r="R124" s="48"/>
      <c r="S124" s="48"/>
      <c r="T124" s="48"/>
      <c r="U124" s="48"/>
      <c r="V124" s="48"/>
    </row>
    <row r="125" spans="2:22" s="46" customFormat="1" ht="15" customHeight="1">
      <c r="B125" s="48"/>
      <c r="C125" s="48"/>
      <c r="D125" s="48"/>
      <c r="E125" s="48"/>
      <c r="F125" s="48"/>
      <c r="G125" s="48"/>
      <c r="H125" s="48"/>
      <c r="I125" s="48"/>
      <c r="J125" s="48"/>
      <c r="K125" s="48"/>
      <c r="L125" s="48"/>
      <c r="M125" s="48"/>
      <c r="N125" s="48"/>
      <c r="O125" s="48"/>
      <c r="P125" s="48"/>
      <c r="Q125" s="48"/>
      <c r="R125" s="48"/>
      <c r="S125" s="48"/>
      <c r="T125" s="48"/>
      <c r="U125" s="48"/>
      <c r="V125" s="48"/>
    </row>
    <row r="126" spans="2:22" s="46" customFormat="1" ht="15" customHeight="1">
      <c r="B126" s="48"/>
      <c r="C126" s="48"/>
      <c r="D126" s="48"/>
      <c r="E126" s="48"/>
      <c r="F126" s="48"/>
      <c r="G126" s="48"/>
      <c r="H126" s="48"/>
      <c r="I126" s="48"/>
      <c r="J126" s="48"/>
      <c r="K126" s="48"/>
      <c r="L126" s="48"/>
      <c r="M126" s="48"/>
      <c r="N126" s="48"/>
      <c r="O126" s="48"/>
      <c r="P126" s="48"/>
      <c r="Q126" s="48"/>
      <c r="R126" s="48"/>
      <c r="S126" s="48"/>
      <c r="T126" s="48"/>
      <c r="U126" s="48"/>
      <c r="V126" s="48"/>
    </row>
    <row r="127" spans="2:22" s="46" customFormat="1" ht="15" customHeight="1">
      <c r="B127" s="48"/>
      <c r="C127" s="48"/>
      <c r="D127" s="48"/>
      <c r="E127" s="48"/>
      <c r="F127" s="48"/>
      <c r="G127" s="48"/>
      <c r="H127" s="48"/>
      <c r="I127" s="48"/>
      <c r="J127" s="48"/>
      <c r="K127" s="48"/>
      <c r="L127" s="48"/>
      <c r="M127" s="48"/>
      <c r="N127" s="48"/>
      <c r="O127" s="48"/>
      <c r="P127" s="48"/>
      <c r="Q127" s="48"/>
      <c r="R127" s="48"/>
      <c r="S127" s="48"/>
      <c r="T127" s="48"/>
      <c r="U127" s="48"/>
      <c r="V127" s="48"/>
    </row>
    <row r="128" spans="2:22" s="46" customFormat="1" ht="15" customHeight="1">
      <c r="B128" s="48"/>
      <c r="C128" s="48"/>
      <c r="D128" s="48"/>
      <c r="E128" s="48"/>
      <c r="F128" s="48"/>
      <c r="G128" s="48"/>
      <c r="H128" s="48"/>
      <c r="I128" s="48"/>
      <c r="J128" s="48"/>
      <c r="K128" s="48"/>
      <c r="L128" s="48"/>
      <c r="M128" s="48"/>
      <c r="N128" s="48"/>
      <c r="O128" s="48"/>
      <c r="P128" s="48"/>
      <c r="Q128" s="48"/>
      <c r="R128" s="48"/>
      <c r="S128" s="48"/>
      <c r="T128" s="48"/>
      <c r="U128" s="48"/>
      <c r="V128" s="48"/>
    </row>
    <row r="129" spans="2:22" s="46" customFormat="1" ht="15" customHeight="1">
      <c r="B129" s="48"/>
      <c r="C129" s="48"/>
      <c r="D129" s="48"/>
      <c r="E129" s="48"/>
      <c r="F129" s="48"/>
      <c r="G129" s="48"/>
      <c r="H129" s="48"/>
      <c r="I129" s="48"/>
      <c r="J129" s="48"/>
      <c r="K129" s="48"/>
      <c r="L129" s="48"/>
      <c r="M129" s="48"/>
      <c r="N129" s="48"/>
      <c r="O129" s="48"/>
      <c r="P129" s="48"/>
      <c r="Q129" s="48"/>
      <c r="R129" s="48"/>
      <c r="S129" s="48"/>
      <c r="T129" s="48"/>
      <c r="U129" s="48"/>
      <c r="V129" s="48"/>
    </row>
    <row r="130" spans="2:22" s="46" customFormat="1" ht="15" customHeight="1">
      <c r="B130" s="48"/>
      <c r="C130" s="48"/>
      <c r="D130" s="48"/>
      <c r="E130" s="48"/>
      <c r="F130" s="48"/>
      <c r="G130" s="48"/>
      <c r="H130" s="48"/>
      <c r="I130" s="48"/>
      <c r="J130" s="48"/>
      <c r="K130" s="48"/>
      <c r="L130" s="48"/>
      <c r="M130" s="48"/>
      <c r="N130" s="48"/>
      <c r="O130" s="48"/>
      <c r="P130" s="48"/>
      <c r="Q130" s="48"/>
      <c r="R130" s="48"/>
      <c r="S130" s="48"/>
      <c r="T130" s="48"/>
      <c r="U130" s="48"/>
      <c r="V130" s="48"/>
    </row>
    <row r="131" spans="2:22" s="46" customFormat="1" ht="15" customHeight="1">
      <c r="B131" s="48"/>
      <c r="C131" s="48"/>
      <c r="D131" s="48"/>
      <c r="E131" s="48"/>
      <c r="F131" s="48"/>
      <c r="G131" s="48"/>
      <c r="H131" s="48"/>
      <c r="I131" s="48"/>
      <c r="J131" s="48"/>
      <c r="K131" s="48"/>
      <c r="L131" s="48"/>
      <c r="M131" s="48"/>
      <c r="N131" s="48"/>
      <c r="O131" s="48"/>
      <c r="P131" s="48"/>
      <c r="Q131" s="48"/>
      <c r="R131" s="48"/>
      <c r="S131" s="48"/>
      <c r="T131" s="48"/>
      <c r="U131" s="48"/>
      <c r="V131" s="48"/>
    </row>
    <row r="132" spans="2:22" s="46" customFormat="1" ht="15" customHeight="1">
      <c r="B132" s="48"/>
      <c r="C132" s="48"/>
      <c r="D132" s="48"/>
      <c r="E132" s="48"/>
      <c r="F132" s="48"/>
      <c r="G132" s="48"/>
      <c r="H132" s="48"/>
      <c r="I132" s="48"/>
      <c r="J132" s="48"/>
      <c r="K132" s="48"/>
      <c r="L132" s="48"/>
      <c r="M132" s="48"/>
      <c r="N132" s="48"/>
      <c r="O132" s="48"/>
      <c r="P132" s="48"/>
      <c r="Q132" s="48"/>
      <c r="R132" s="48"/>
      <c r="S132" s="48"/>
      <c r="T132" s="48"/>
      <c r="U132" s="48"/>
      <c r="V132" s="48"/>
    </row>
    <row r="133" spans="2:22" s="46" customFormat="1" ht="15" customHeight="1">
      <c r="B133" s="48"/>
      <c r="C133" s="48"/>
      <c r="D133" s="48"/>
      <c r="E133" s="48"/>
      <c r="F133" s="48"/>
      <c r="G133" s="48"/>
      <c r="H133" s="48"/>
      <c r="I133" s="48"/>
      <c r="J133" s="48"/>
      <c r="K133" s="48"/>
      <c r="L133" s="48"/>
      <c r="M133" s="48"/>
      <c r="N133" s="48"/>
      <c r="O133" s="48"/>
      <c r="P133" s="48"/>
      <c r="Q133" s="48"/>
      <c r="R133" s="48"/>
      <c r="S133" s="48"/>
      <c r="T133" s="48"/>
      <c r="U133" s="48"/>
      <c r="V133" s="48"/>
    </row>
    <row r="134" spans="2:22" s="46" customFormat="1" ht="15" customHeight="1">
      <c r="B134" s="48"/>
      <c r="C134" s="48"/>
      <c r="D134" s="48"/>
      <c r="E134" s="48"/>
      <c r="F134" s="48"/>
      <c r="G134" s="48"/>
      <c r="H134" s="48"/>
      <c r="I134" s="48"/>
      <c r="J134" s="48"/>
      <c r="K134" s="48"/>
      <c r="L134" s="48"/>
      <c r="M134" s="48"/>
      <c r="N134" s="48"/>
      <c r="O134" s="48"/>
      <c r="P134" s="48"/>
      <c r="Q134" s="48"/>
      <c r="R134" s="48"/>
      <c r="S134" s="48"/>
      <c r="T134" s="48"/>
      <c r="U134" s="48"/>
      <c r="V134" s="48"/>
    </row>
    <row r="135" spans="2:22" s="46" customFormat="1" ht="15" customHeight="1">
      <c r="B135" s="48"/>
      <c r="C135" s="48"/>
      <c r="D135" s="48"/>
      <c r="E135" s="48"/>
      <c r="F135" s="48"/>
      <c r="G135" s="48"/>
      <c r="H135" s="48"/>
      <c r="I135" s="48"/>
      <c r="J135" s="48"/>
      <c r="K135" s="48"/>
      <c r="L135" s="48"/>
      <c r="M135" s="48"/>
      <c r="N135" s="48"/>
      <c r="O135" s="48"/>
      <c r="P135" s="48"/>
      <c r="Q135" s="48"/>
      <c r="R135" s="48"/>
      <c r="S135" s="48"/>
      <c r="T135" s="48"/>
      <c r="U135" s="48"/>
      <c r="V135" s="48"/>
    </row>
    <row r="136" spans="2:22" s="46" customFormat="1" ht="15" customHeight="1">
      <c r="B136" s="48"/>
      <c r="C136" s="48"/>
      <c r="D136" s="48"/>
      <c r="E136" s="48"/>
      <c r="F136" s="48"/>
      <c r="G136" s="48"/>
      <c r="H136" s="48"/>
      <c r="I136" s="48"/>
      <c r="J136" s="48"/>
      <c r="K136" s="48"/>
      <c r="L136" s="48"/>
      <c r="M136" s="48"/>
      <c r="N136" s="48"/>
      <c r="O136" s="48"/>
      <c r="P136" s="48"/>
      <c r="Q136" s="48"/>
      <c r="R136" s="48"/>
      <c r="S136" s="48"/>
      <c r="T136" s="48"/>
      <c r="U136" s="48"/>
      <c r="V136" s="48"/>
    </row>
    <row r="137" spans="2:22" s="46" customFormat="1" ht="15" customHeight="1">
      <c r="B137" s="48"/>
      <c r="C137" s="48"/>
      <c r="D137" s="48"/>
      <c r="E137" s="48"/>
      <c r="F137" s="48"/>
      <c r="G137" s="48"/>
      <c r="H137" s="48"/>
      <c r="I137" s="48"/>
      <c r="J137" s="48"/>
      <c r="K137" s="48"/>
      <c r="L137" s="48"/>
      <c r="M137" s="48"/>
      <c r="N137" s="48"/>
      <c r="O137" s="48"/>
      <c r="P137" s="48"/>
      <c r="Q137" s="48"/>
      <c r="R137" s="48"/>
      <c r="S137" s="48"/>
      <c r="T137" s="48"/>
      <c r="U137" s="48"/>
      <c r="V137" s="48"/>
    </row>
    <row r="138" spans="2:22" s="46" customFormat="1" ht="15" customHeight="1">
      <c r="B138" s="48"/>
      <c r="C138" s="48"/>
      <c r="D138" s="48"/>
      <c r="E138" s="48"/>
      <c r="F138" s="48"/>
      <c r="G138" s="48"/>
      <c r="H138" s="48"/>
      <c r="I138" s="48"/>
      <c r="J138" s="48"/>
      <c r="K138" s="48"/>
      <c r="L138" s="48"/>
      <c r="M138" s="48"/>
      <c r="N138" s="48"/>
      <c r="O138" s="48"/>
      <c r="P138" s="48"/>
      <c r="Q138" s="48"/>
      <c r="R138" s="48"/>
      <c r="S138" s="48"/>
      <c r="T138" s="48"/>
      <c r="U138" s="48"/>
      <c r="V138" s="48"/>
    </row>
    <row r="139" spans="2:22" s="46" customFormat="1" ht="15" customHeight="1">
      <c r="B139" s="48"/>
      <c r="C139" s="48"/>
      <c r="D139" s="48"/>
      <c r="E139" s="48"/>
      <c r="F139" s="48"/>
      <c r="G139" s="48"/>
      <c r="H139" s="48"/>
      <c r="I139" s="48"/>
      <c r="J139" s="48"/>
      <c r="K139" s="48"/>
      <c r="L139" s="48"/>
      <c r="M139" s="48"/>
      <c r="N139" s="48"/>
      <c r="O139" s="48"/>
      <c r="P139" s="48"/>
      <c r="Q139" s="48"/>
      <c r="R139" s="48"/>
      <c r="S139" s="48"/>
      <c r="T139" s="48"/>
      <c r="U139" s="48"/>
      <c r="V139" s="48"/>
    </row>
    <row r="140" spans="2:22" s="46" customFormat="1" ht="15" customHeight="1">
      <c r="B140" s="48"/>
      <c r="C140" s="48"/>
      <c r="D140" s="48"/>
      <c r="E140" s="48"/>
      <c r="F140" s="48"/>
      <c r="G140" s="48"/>
      <c r="H140" s="48"/>
      <c r="I140" s="48"/>
      <c r="J140" s="48"/>
      <c r="K140" s="48"/>
      <c r="L140" s="48"/>
      <c r="M140" s="48"/>
      <c r="N140" s="48"/>
      <c r="O140" s="48"/>
      <c r="P140" s="48"/>
      <c r="Q140" s="48"/>
      <c r="R140" s="48"/>
      <c r="S140" s="48"/>
      <c r="T140" s="48"/>
      <c r="U140" s="48"/>
      <c r="V140" s="48"/>
    </row>
    <row r="141" spans="2:22" s="46" customFormat="1" ht="15" customHeight="1">
      <c r="B141" s="48"/>
      <c r="C141" s="48"/>
      <c r="D141" s="48"/>
      <c r="E141" s="48"/>
      <c r="F141" s="48"/>
      <c r="G141" s="48"/>
      <c r="H141" s="48"/>
      <c r="I141" s="48"/>
      <c r="J141" s="48"/>
      <c r="K141" s="48"/>
      <c r="L141" s="48"/>
      <c r="M141" s="48"/>
      <c r="N141" s="48"/>
      <c r="O141" s="48"/>
      <c r="P141" s="48"/>
      <c r="Q141" s="48"/>
      <c r="R141" s="48"/>
      <c r="S141" s="48"/>
      <c r="T141" s="48"/>
      <c r="U141" s="48"/>
      <c r="V141" s="48"/>
    </row>
    <row r="142" spans="2:22" s="46" customFormat="1" ht="15" customHeight="1">
      <c r="B142" s="48"/>
      <c r="C142" s="48"/>
      <c r="D142" s="48"/>
      <c r="E142" s="48"/>
      <c r="F142" s="48"/>
      <c r="G142" s="48"/>
      <c r="H142" s="48"/>
      <c r="I142" s="48"/>
      <c r="J142" s="48"/>
      <c r="K142" s="48"/>
      <c r="L142" s="48"/>
      <c r="M142" s="48"/>
      <c r="N142" s="48"/>
      <c r="O142" s="48"/>
      <c r="P142" s="48"/>
      <c r="Q142" s="48"/>
      <c r="R142" s="48"/>
      <c r="S142" s="48"/>
      <c r="T142" s="48"/>
      <c r="U142" s="48"/>
      <c r="V142" s="48"/>
    </row>
    <row r="143" spans="2:22" s="46" customFormat="1" ht="15" customHeight="1">
      <c r="B143" s="48"/>
      <c r="C143" s="48"/>
      <c r="D143" s="48"/>
      <c r="E143" s="48"/>
      <c r="F143" s="48"/>
      <c r="G143" s="48"/>
      <c r="H143" s="48"/>
      <c r="I143" s="48"/>
      <c r="J143" s="48"/>
      <c r="K143" s="48"/>
      <c r="L143" s="48"/>
      <c r="M143" s="48"/>
      <c r="N143" s="48"/>
      <c r="O143" s="48"/>
      <c r="P143" s="48"/>
      <c r="Q143" s="48"/>
      <c r="R143" s="48"/>
      <c r="S143" s="48"/>
      <c r="T143" s="48"/>
      <c r="U143" s="48"/>
      <c r="V143" s="48"/>
    </row>
    <row r="144" spans="2:22" s="46" customFormat="1" ht="15" customHeight="1">
      <c r="B144" s="48"/>
      <c r="C144" s="48"/>
      <c r="D144" s="48"/>
      <c r="E144" s="48"/>
      <c r="F144" s="48"/>
      <c r="G144" s="48"/>
      <c r="H144" s="48"/>
      <c r="I144" s="48"/>
      <c r="J144" s="48"/>
      <c r="K144" s="48"/>
      <c r="L144" s="48"/>
      <c r="M144" s="48"/>
      <c r="N144" s="48"/>
      <c r="O144" s="48"/>
      <c r="P144" s="48"/>
      <c r="Q144" s="48"/>
      <c r="R144" s="48"/>
      <c r="S144" s="48"/>
      <c r="T144" s="48"/>
      <c r="U144" s="48"/>
      <c r="V144" s="48"/>
    </row>
    <row r="145" spans="2:22" s="46" customFormat="1" ht="15" customHeight="1">
      <c r="B145" s="48"/>
      <c r="C145" s="48"/>
      <c r="D145" s="48"/>
      <c r="E145" s="48"/>
      <c r="F145" s="48"/>
      <c r="G145" s="48"/>
      <c r="H145" s="48"/>
      <c r="I145" s="48"/>
      <c r="J145" s="48"/>
      <c r="K145" s="48"/>
      <c r="L145" s="48"/>
      <c r="M145" s="48"/>
      <c r="N145" s="48"/>
      <c r="O145" s="48"/>
      <c r="P145" s="48"/>
      <c r="Q145" s="48"/>
      <c r="R145" s="48"/>
      <c r="S145" s="48"/>
      <c r="T145" s="48"/>
      <c r="U145" s="48"/>
      <c r="V145" s="48"/>
    </row>
    <row r="146" spans="2:22" s="46" customFormat="1" ht="15" customHeight="1">
      <c r="B146" s="48"/>
      <c r="C146" s="48"/>
      <c r="D146" s="48"/>
      <c r="E146" s="48"/>
      <c r="F146" s="48"/>
      <c r="G146" s="48"/>
      <c r="H146" s="48"/>
      <c r="I146" s="48"/>
      <c r="J146" s="48"/>
      <c r="K146" s="48"/>
      <c r="L146" s="48"/>
      <c r="M146" s="48"/>
      <c r="N146" s="48"/>
      <c r="O146" s="48"/>
      <c r="P146" s="48"/>
      <c r="Q146" s="48"/>
      <c r="R146" s="48"/>
      <c r="S146" s="48"/>
      <c r="T146" s="48"/>
      <c r="U146" s="48"/>
      <c r="V146" s="48"/>
    </row>
    <row r="147" spans="2:22" s="46" customFormat="1" ht="15" customHeight="1">
      <c r="B147" s="48"/>
      <c r="C147" s="48"/>
      <c r="D147" s="48"/>
      <c r="E147" s="48"/>
      <c r="F147" s="48"/>
      <c r="G147" s="48"/>
      <c r="H147" s="48"/>
      <c r="I147" s="48"/>
      <c r="J147" s="48"/>
      <c r="K147" s="48"/>
      <c r="L147" s="48"/>
      <c r="M147" s="48"/>
      <c r="N147" s="48"/>
      <c r="O147" s="48"/>
      <c r="P147" s="48"/>
      <c r="Q147" s="48"/>
      <c r="R147" s="48"/>
      <c r="S147" s="48"/>
      <c r="T147" s="48"/>
      <c r="U147" s="48"/>
      <c r="V147" s="48"/>
    </row>
    <row r="148" spans="2:22" s="46" customFormat="1" ht="15" customHeight="1">
      <c r="B148" s="48"/>
      <c r="C148" s="48"/>
      <c r="D148" s="48"/>
      <c r="E148" s="48"/>
      <c r="F148" s="48"/>
      <c r="G148" s="48"/>
      <c r="H148" s="48"/>
      <c r="I148" s="48"/>
      <c r="J148" s="48"/>
      <c r="K148" s="48"/>
      <c r="L148" s="48"/>
      <c r="M148" s="48"/>
      <c r="N148" s="48"/>
      <c r="O148" s="48"/>
      <c r="P148" s="48"/>
      <c r="Q148" s="48"/>
      <c r="R148" s="48"/>
      <c r="S148" s="48"/>
      <c r="T148" s="48"/>
      <c r="U148" s="48"/>
      <c r="V148" s="48"/>
    </row>
    <row r="149" spans="2:22" s="46" customFormat="1" ht="15" customHeight="1">
      <c r="B149" s="48"/>
      <c r="C149" s="48"/>
      <c r="D149" s="48"/>
      <c r="E149" s="48"/>
      <c r="F149" s="48"/>
      <c r="G149" s="48"/>
      <c r="H149" s="48"/>
      <c r="I149" s="48"/>
      <c r="J149" s="48"/>
      <c r="K149" s="48"/>
      <c r="L149" s="48"/>
      <c r="M149" s="48"/>
      <c r="N149" s="48"/>
      <c r="O149" s="48"/>
      <c r="P149" s="48"/>
      <c r="Q149" s="48"/>
      <c r="R149" s="48"/>
      <c r="S149" s="48"/>
      <c r="T149" s="48"/>
      <c r="U149" s="48"/>
      <c r="V149" s="48"/>
    </row>
    <row r="150" spans="2:22" s="46" customFormat="1" ht="15" customHeight="1">
      <c r="B150" s="48"/>
      <c r="C150" s="48"/>
      <c r="D150" s="48"/>
      <c r="E150" s="48"/>
      <c r="F150" s="48"/>
      <c r="G150" s="48"/>
      <c r="H150" s="48"/>
      <c r="I150" s="48"/>
      <c r="J150" s="48"/>
      <c r="K150" s="48"/>
      <c r="L150" s="48"/>
      <c r="M150" s="48"/>
      <c r="N150" s="48"/>
      <c r="O150" s="48"/>
      <c r="P150" s="48"/>
      <c r="Q150" s="48"/>
      <c r="R150" s="48"/>
      <c r="S150" s="48"/>
      <c r="T150" s="48"/>
      <c r="U150" s="48"/>
      <c r="V150" s="48"/>
    </row>
    <row r="151" spans="2:22" s="46" customFormat="1" ht="15" customHeight="1">
      <c r="B151" s="48"/>
      <c r="C151" s="48"/>
      <c r="D151" s="48"/>
      <c r="E151" s="48"/>
      <c r="F151" s="48"/>
      <c r="G151" s="48"/>
      <c r="H151" s="48"/>
      <c r="I151" s="48"/>
      <c r="J151" s="48"/>
      <c r="K151" s="48"/>
      <c r="L151" s="48"/>
      <c r="M151" s="48"/>
      <c r="N151" s="48"/>
      <c r="O151" s="48"/>
      <c r="P151" s="48"/>
      <c r="Q151" s="48"/>
      <c r="R151" s="48"/>
      <c r="S151" s="48"/>
      <c r="T151" s="48"/>
      <c r="U151" s="48"/>
      <c r="V151" s="48"/>
    </row>
    <row r="152" spans="2:22" s="46" customFormat="1" ht="15" customHeight="1">
      <c r="B152" s="48"/>
      <c r="C152" s="48"/>
      <c r="D152" s="48"/>
      <c r="E152" s="48"/>
      <c r="F152" s="48"/>
      <c r="G152" s="48"/>
      <c r="H152" s="48"/>
      <c r="I152" s="48"/>
      <c r="J152" s="48"/>
      <c r="K152" s="48"/>
      <c r="L152" s="48"/>
      <c r="M152" s="48"/>
      <c r="N152" s="48"/>
      <c r="O152" s="48"/>
      <c r="P152" s="48"/>
      <c r="Q152" s="48"/>
      <c r="R152" s="48"/>
      <c r="S152" s="48"/>
      <c r="T152" s="48"/>
      <c r="U152" s="48"/>
      <c r="V152" s="48"/>
    </row>
    <row r="153" spans="2:22" s="46" customFormat="1" ht="15" customHeight="1">
      <c r="B153" s="48"/>
      <c r="C153" s="48"/>
      <c r="D153" s="48"/>
      <c r="E153" s="48"/>
      <c r="F153" s="48"/>
      <c r="G153" s="48"/>
      <c r="H153" s="48"/>
      <c r="I153" s="48"/>
      <c r="J153" s="48"/>
      <c r="K153" s="48"/>
      <c r="L153" s="48"/>
      <c r="M153" s="48"/>
      <c r="N153" s="48"/>
      <c r="O153" s="48"/>
      <c r="P153" s="48"/>
      <c r="Q153" s="48"/>
      <c r="R153" s="48"/>
      <c r="S153" s="48"/>
      <c r="T153" s="48"/>
      <c r="U153" s="48"/>
      <c r="V153" s="48"/>
    </row>
    <row r="154" spans="2:22" s="46" customFormat="1" ht="15" customHeight="1">
      <c r="B154" s="48"/>
      <c r="C154" s="48"/>
      <c r="D154" s="48"/>
      <c r="E154" s="48"/>
      <c r="F154" s="48"/>
      <c r="G154" s="48"/>
      <c r="H154" s="48"/>
      <c r="I154" s="48"/>
      <c r="J154" s="48"/>
      <c r="K154" s="48"/>
      <c r="L154" s="48"/>
      <c r="M154" s="48"/>
      <c r="N154" s="48"/>
      <c r="O154" s="48"/>
      <c r="P154" s="48"/>
      <c r="Q154" s="48"/>
      <c r="R154" s="48"/>
      <c r="S154" s="48"/>
      <c r="T154" s="48"/>
      <c r="U154" s="48"/>
      <c r="V154" s="48"/>
    </row>
    <row r="155" spans="2:22" s="46" customFormat="1" ht="15" customHeight="1">
      <c r="B155" s="48"/>
      <c r="C155" s="48"/>
      <c r="D155" s="48"/>
      <c r="E155" s="48"/>
      <c r="F155" s="48"/>
      <c r="G155" s="48"/>
      <c r="H155" s="48"/>
      <c r="I155" s="48"/>
      <c r="J155" s="48"/>
      <c r="K155" s="48"/>
      <c r="L155" s="48"/>
      <c r="M155" s="48"/>
      <c r="N155" s="48"/>
      <c r="O155" s="48"/>
      <c r="P155" s="48"/>
      <c r="Q155" s="48"/>
      <c r="R155" s="48"/>
      <c r="S155" s="48"/>
      <c r="T155" s="48"/>
      <c r="U155" s="48"/>
      <c r="V155" s="48"/>
    </row>
    <row r="156" spans="2:22" s="46" customFormat="1" ht="15" customHeight="1">
      <c r="B156" s="48"/>
      <c r="C156" s="48"/>
      <c r="D156" s="48"/>
      <c r="E156" s="48"/>
      <c r="F156" s="48"/>
      <c r="G156" s="48"/>
      <c r="H156" s="48"/>
      <c r="I156" s="48"/>
      <c r="J156" s="48"/>
      <c r="K156" s="48"/>
      <c r="L156" s="48"/>
      <c r="M156" s="48"/>
      <c r="N156" s="48"/>
      <c r="O156" s="48"/>
      <c r="P156" s="48"/>
      <c r="Q156" s="48"/>
      <c r="R156" s="48"/>
      <c r="S156" s="48"/>
      <c r="T156" s="48"/>
      <c r="U156" s="48"/>
      <c r="V156" s="48"/>
    </row>
    <row r="157" spans="2:22" s="46" customFormat="1" ht="15" customHeight="1">
      <c r="B157" s="48"/>
      <c r="C157" s="48"/>
      <c r="D157" s="48"/>
      <c r="E157" s="48"/>
      <c r="F157" s="48"/>
      <c r="G157" s="48"/>
      <c r="H157" s="48"/>
      <c r="I157" s="48"/>
      <c r="J157" s="48"/>
      <c r="K157" s="48"/>
      <c r="L157" s="48"/>
      <c r="M157" s="48"/>
      <c r="N157" s="48"/>
      <c r="O157" s="48"/>
      <c r="P157" s="48"/>
      <c r="Q157" s="48"/>
      <c r="R157" s="48"/>
      <c r="S157" s="48"/>
      <c r="T157" s="48"/>
      <c r="U157" s="48"/>
      <c r="V157" s="48"/>
    </row>
    <row r="158" spans="2:22" s="46" customFormat="1" ht="15" customHeight="1">
      <c r="B158" s="48"/>
      <c r="C158" s="48"/>
      <c r="D158" s="48"/>
      <c r="E158" s="48"/>
      <c r="F158" s="48"/>
      <c r="G158" s="48"/>
      <c r="H158" s="48"/>
      <c r="I158" s="48"/>
      <c r="J158" s="48"/>
      <c r="K158" s="48"/>
      <c r="L158" s="48"/>
      <c r="M158" s="48"/>
      <c r="N158" s="48"/>
      <c r="O158" s="48"/>
      <c r="P158" s="48"/>
      <c r="Q158" s="48"/>
      <c r="R158" s="48"/>
      <c r="S158" s="48"/>
      <c r="T158" s="48"/>
      <c r="U158" s="48"/>
      <c r="V158" s="48"/>
    </row>
    <row r="159" spans="2:22" s="46" customFormat="1" ht="15" customHeight="1">
      <c r="B159" s="48"/>
      <c r="C159" s="48"/>
      <c r="D159" s="48"/>
      <c r="E159" s="48"/>
      <c r="F159" s="48"/>
      <c r="G159" s="48"/>
      <c r="H159" s="48"/>
      <c r="I159" s="48"/>
      <c r="J159" s="48"/>
      <c r="K159" s="48"/>
      <c r="L159" s="48"/>
      <c r="M159" s="48"/>
      <c r="N159" s="48"/>
      <c r="O159" s="48"/>
      <c r="P159" s="48"/>
      <c r="Q159" s="48"/>
      <c r="R159" s="48"/>
      <c r="S159" s="48"/>
      <c r="T159" s="48"/>
      <c r="U159" s="48"/>
      <c r="V159" s="48"/>
    </row>
    <row r="160" spans="2:22" s="46" customFormat="1" ht="15" customHeight="1">
      <c r="B160" s="48"/>
      <c r="C160" s="48"/>
      <c r="D160" s="48"/>
      <c r="E160" s="48"/>
      <c r="F160" s="48"/>
      <c r="G160" s="48"/>
      <c r="H160" s="48"/>
      <c r="I160" s="48"/>
      <c r="J160" s="48"/>
      <c r="K160" s="48"/>
      <c r="L160" s="48"/>
      <c r="M160" s="48"/>
      <c r="N160" s="48"/>
      <c r="O160" s="48"/>
      <c r="P160" s="48"/>
      <c r="Q160" s="48"/>
      <c r="R160" s="48"/>
      <c r="S160" s="48"/>
      <c r="T160" s="48"/>
      <c r="U160" s="48"/>
      <c r="V160" s="48"/>
    </row>
    <row r="161" spans="2:22" s="46" customFormat="1" ht="15" customHeight="1">
      <c r="B161" s="48"/>
      <c r="C161" s="48"/>
      <c r="D161" s="48"/>
      <c r="E161" s="48"/>
      <c r="F161" s="48"/>
      <c r="G161" s="48"/>
      <c r="H161" s="48"/>
      <c r="I161" s="48"/>
      <c r="J161" s="48"/>
      <c r="K161" s="48"/>
      <c r="L161" s="48"/>
      <c r="M161" s="48"/>
      <c r="N161" s="48"/>
      <c r="O161" s="48"/>
      <c r="P161" s="48"/>
      <c r="Q161" s="48"/>
      <c r="R161" s="48"/>
      <c r="S161" s="48"/>
      <c r="T161" s="48"/>
      <c r="U161" s="48"/>
      <c r="V161" s="48"/>
    </row>
    <row r="162" spans="2:22" s="46" customFormat="1" ht="15" customHeight="1">
      <c r="B162" s="48"/>
      <c r="C162" s="48"/>
      <c r="D162" s="48"/>
      <c r="E162" s="48"/>
      <c r="F162" s="48"/>
      <c r="G162" s="48"/>
      <c r="H162" s="48"/>
      <c r="I162" s="48"/>
      <c r="J162" s="48"/>
      <c r="K162" s="48"/>
      <c r="L162" s="48"/>
      <c r="M162" s="48"/>
      <c r="N162" s="48"/>
      <c r="O162" s="48"/>
      <c r="P162" s="48"/>
      <c r="Q162" s="48"/>
      <c r="R162" s="48"/>
      <c r="S162" s="48"/>
      <c r="T162" s="48"/>
      <c r="U162" s="48"/>
      <c r="V162" s="48"/>
    </row>
    <row r="163" spans="2:22" s="46" customFormat="1" ht="15" customHeight="1">
      <c r="B163" s="48"/>
      <c r="C163" s="48"/>
      <c r="D163" s="48"/>
      <c r="E163" s="48"/>
      <c r="F163" s="48"/>
      <c r="G163" s="48"/>
      <c r="H163" s="48"/>
      <c r="I163" s="48"/>
      <c r="J163" s="48"/>
      <c r="K163" s="48"/>
      <c r="L163" s="48"/>
      <c r="M163" s="48"/>
      <c r="N163" s="48"/>
      <c r="O163" s="48"/>
      <c r="P163" s="48"/>
      <c r="Q163" s="48"/>
      <c r="R163" s="48"/>
      <c r="S163" s="48"/>
      <c r="T163" s="48"/>
      <c r="U163" s="48"/>
      <c r="V163" s="48"/>
    </row>
    <row r="164" spans="2:22" s="46" customFormat="1" ht="15" customHeight="1">
      <c r="B164" s="48"/>
      <c r="C164" s="48"/>
      <c r="D164" s="48"/>
      <c r="E164" s="48"/>
      <c r="F164" s="48"/>
      <c r="G164" s="48"/>
      <c r="H164" s="48"/>
      <c r="I164" s="48"/>
      <c r="J164" s="48"/>
      <c r="K164" s="48"/>
      <c r="L164" s="48"/>
      <c r="M164" s="48"/>
      <c r="N164" s="48"/>
      <c r="O164" s="48"/>
      <c r="P164" s="48"/>
      <c r="Q164" s="48"/>
      <c r="R164" s="48"/>
      <c r="S164" s="48"/>
      <c r="T164" s="48"/>
      <c r="U164" s="48"/>
      <c r="V164" s="48"/>
    </row>
    <row r="165" spans="2:22" s="46" customFormat="1" ht="15" customHeight="1">
      <c r="B165" s="48"/>
      <c r="C165" s="48"/>
      <c r="D165" s="48"/>
      <c r="E165" s="48"/>
      <c r="F165" s="48"/>
      <c r="G165" s="48"/>
      <c r="H165" s="48"/>
      <c r="I165" s="48"/>
      <c r="J165" s="48"/>
      <c r="K165" s="48"/>
      <c r="L165" s="48"/>
      <c r="M165" s="48"/>
      <c r="N165" s="48"/>
      <c r="O165" s="48"/>
      <c r="P165" s="48"/>
      <c r="Q165" s="48"/>
      <c r="R165" s="48"/>
      <c r="S165" s="48"/>
      <c r="T165" s="48"/>
      <c r="U165" s="48"/>
      <c r="V165" s="48"/>
    </row>
    <row r="166" spans="2:22" s="46" customFormat="1" ht="15" customHeight="1">
      <c r="B166" s="48"/>
      <c r="C166" s="48"/>
      <c r="D166" s="48"/>
      <c r="E166" s="48"/>
      <c r="F166" s="48"/>
      <c r="G166" s="48"/>
      <c r="H166" s="48"/>
      <c r="I166" s="48"/>
      <c r="J166" s="48"/>
      <c r="K166" s="48"/>
      <c r="L166" s="48"/>
      <c r="M166" s="48"/>
      <c r="N166" s="48"/>
      <c r="O166" s="48"/>
      <c r="P166" s="48"/>
      <c r="Q166" s="48"/>
      <c r="R166" s="48"/>
      <c r="S166" s="48"/>
      <c r="T166" s="48"/>
      <c r="U166" s="48"/>
      <c r="V166" s="48"/>
    </row>
    <row r="167" spans="2:22" s="46" customFormat="1" ht="15" customHeight="1">
      <c r="B167" s="48"/>
      <c r="C167" s="48"/>
      <c r="D167" s="48"/>
      <c r="E167" s="48"/>
      <c r="F167" s="48"/>
      <c r="G167" s="48"/>
      <c r="H167" s="48"/>
      <c r="I167" s="48"/>
      <c r="J167" s="48"/>
      <c r="K167" s="48"/>
      <c r="L167" s="48"/>
      <c r="M167" s="48"/>
      <c r="N167" s="48"/>
      <c r="O167" s="48"/>
      <c r="P167" s="48"/>
      <c r="Q167" s="48"/>
      <c r="R167" s="48"/>
      <c r="S167" s="48"/>
      <c r="T167" s="48"/>
      <c r="U167" s="48"/>
      <c r="V167" s="48"/>
    </row>
    <row r="168" spans="2:22" s="46" customFormat="1" ht="15" customHeight="1">
      <c r="B168" s="48"/>
      <c r="C168" s="48"/>
      <c r="D168" s="48"/>
      <c r="E168" s="48"/>
      <c r="F168" s="48"/>
      <c r="G168" s="48"/>
      <c r="H168" s="48"/>
      <c r="I168" s="48"/>
      <c r="J168" s="48"/>
      <c r="K168" s="48"/>
      <c r="L168" s="48"/>
      <c r="M168" s="48"/>
      <c r="N168" s="48"/>
      <c r="O168" s="48"/>
      <c r="P168" s="48"/>
      <c r="Q168" s="48"/>
      <c r="R168" s="48"/>
      <c r="S168" s="48"/>
      <c r="T168" s="48"/>
      <c r="U168" s="48"/>
      <c r="V168" s="48"/>
    </row>
    <row r="169" spans="2:22" s="46" customFormat="1" ht="15" customHeight="1">
      <c r="B169" s="48"/>
      <c r="C169" s="48"/>
      <c r="D169" s="48"/>
      <c r="E169" s="48"/>
      <c r="F169" s="48"/>
      <c r="G169" s="48"/>
      <c r="H169" s="48"/>
      <c r="I169" s="48"/>
      <c r="J169" s="48"/>
      <c r="K169" s="48"/>
      <c r="L169" s="48"/>
      <c r="M169" s="48"/>
      <c r="N169" s="48"/>
      <c r="O169" s="48"/>
      <c r="P169" s="48"/>
      <c r="Q169" s="48"/>
      <c r="R169" s="48"/>
      <c r="S169" s="48"/>
      <c r="T169" s="48"/>
      <c r="U169" s="48"/>
      <c r="V169" s="48"/>
    </row>
    <row r="170" spans="2:22" s="46" customFormat="1" ht="15" customHeight="1">
      <c r="B170" s="48"/>
      <c r="C170" s="48"/>
      <c r="D170" s="48"/>
      <c r="E170" s="48"/>
      <c r="F170" s="48"/>
      <c r="G170" s="48"/>
      <c r="H170" s="48"/>
      <c r="I170" s="48"/>
      <c r="J170" s="48"/>
      <c r="K170" s="48"/>
      <c r="L170" s="48"/>
      <c r="M170" s="48"/>
      <c r="N170" s="48"/>
      <c r="O170" s="48"/>
      <c r="P170" s="48"/>
      <c r="Q170" s="48"/>
      <c r="R170" s="48"/>
      <c r="S170" s="48"/>
      <c r="T170" s="48"/>
      <c r="U170" s="48"/>
      <c r="V170" s="48"/>
    </row>
    <row r="171" spans="2:22" s="46" customFormat="1" ht="15" customHeight="1">
      <c r="B171" s="48"/>
      <c r="C171" s="48"/>
      <c r="D171" s="48"/>
      <c r="E171" s="48"/>
      <c r="F171" s="48"/>
      <c r="G171" s="48"/>
      <c r="H171" s="48"/>
      <c r="I171" s="48"/>
      <c r="J171" s="48"/>
      <c r="K171" s="48"/>
      <c r="L171" s="48"/>
      <c r="M171" s="48"/>
      <c r="N171" s="48"/>
      <c r="O171" s="48"/>
      <c r="P171" s="48"/>
      <c r="Q171" s="48"/>
      <c r="R171" s="48"/>
      <c r="S171" s="48"/>
      <c r="T171" s="48"/>
      <c r="U171" s="48"/>
      <c r="V171" s="48"/>
    </row>
    <row r="172" spans="2:22" s="46" customFormat="1" ht="15" customHeight="1">
      <c r="B172" s="48"/>
      <c r="C172" s="48"/>
      <c r="D172" s="48"/>
      <c r="E172" s="48"/>
      <c r="F172" s="48"/>
      <c r="G172" s="48"/>
      <c r="H172" s="48"/>
      <c r="I172" s="48"/>
      <c r="J172" s="48"/>
      <c r="K172" s="48"/>
      <c r="L172" s="48"/>
      <c r="M172" s="48"/>
      <c r="N172" s="48"/>
      <c r="O172" s="48"/>
      <c r="P172" s="48"/>
      <c r="Q172" s="48"/>
      <c r="R172" s="48"/>
      <c r="S172" s="48"/>
      <c r="T172" s="48"/>
      <c r="U172" s="48"/>
      <c r="V172" s="48"/>
    </row>
    <row r="173" spans="2:22" s="46" customFormat="1" ht="15" customHeight="1">
      <c r="B173" s="48"/>
      <c r="C173" s="48"/>
      <c r="D173" s="48"/>
      <c r="E173" s="48"/>
      <c r="F173" s="48"/>
      <c r="G173" s="48"/>
      <c r="H173" s="48"/>
      <c r="I173" s="48"/>
      <c r="J173" s="48"/>
      <c r="K173" s="48"/>
      <c r="L173" s="48"/>
      <c r="M173" s="48"/>
      <c r="N173" s="48"/>
      <c r="O173" s="48"/>
      <c r="P173" s="48"/>
      <c r="Q173" s="48"/>
      <c r="R173" s="48"/>
      <c r="S173" s="48"/>
      <c r="T173" s="48"/>
      <c r="U173" s="48"/>
      <c r="V173" s="48"/>
    </row>
    <row r="174" spans="2:22" s="46" customFormat="1" ht="15" customHeight="1">
      <c r="B174" s="48"/>
      <c r="C174" s="48"/>
      <c r="D174" s="48"/>
      <c r="E174" s="48"/>
      <c r="F174" s="48"/>
      <c r="G174" s="48"/>
      <c r="H174" s="48"/>
      <c r="I174" s="48"/>
      <c r="J174" s="48"/>
      <c r="K174" s="48"/>
      <c r="L174" s="48"/>
      <c r="M174" s="48"/>
      <c r="N174" s="48"/>
      <c r="O174" s="48"/>
      <c r="P174" s="48"/>
      <c r="Q174" s="48"/>
      <c r="R174" s="48"/>
      <c r="S174" s="48"/>
      <c r="T174" s="48"/>
      <c r="U174" s="48"/>
      <c r="V174" s="48"/>
    </row>
    <row r="175" spans="2:22" s="46" customFormat="1" ht="15" customHeight="1">
      <c r="B175" s="48"/>
      <c r="C175" s="48"/>
      <c r="D175" s="48"/>
      <c r="E175" s="48"/>
      <c r="F175" s="48"/>
      <c r="G175" s="48"/>
      <c r="H175" s="48"/>
      <c r="I175" s="48"/>
      <c r="J175" s="48"/>
      <c r="K175" s="48"/>
      <c r="L175" s="48"/>
      <c r="M175" s="48"/>
      <c r="N175" s="48"/>
      <c r="O175" s="48"/>
      <c r="P175" s="48"/>
      <c r="Q175" s="48"/>
      <c r="R175" s="48"/>
      <c r="S175" s="48"/>
      <c r="T175" s="48"/>
      <c r="U175" s="48"/>
      <c r="V175" s="48"/>
    </row>
    <row r="176" spans="2:22" s="46" customFormat="1" ht="15" customHeight="1">
      <c r="B176" s="48"/>
      <c r="C176" s="48"/>
      <c r="D176" s="48"/>
      <c r="E176" s="48"/>
      <c r="F176" s="48"/>
      <c r="G176" s="48"/>
      <c r="H176" s="48"/>
      <c r="I176" s="48"/>
      <c r="J176" s="48"/>
      <c r="K176" s="48"/>
      <c r="L176" s="48"/>
      <c r="M176" s="48"/>
      <c r="N176" s="48"/>
      <c r="O176" s="48"/>
      <c r="P176" s="48"/>
      <c r="Q176" s="48"/>
      <c r="R176" s="48"/>
      <c r="S176" s="48"/>
      <c r="T176" s="48"/>
      <c r="U176" s="48"/>
      <c r="V176" s="48"/>
    </row>
    <row r="177" spans="2:22" s="46" customFormat="1" ht="15" customHeight="1">
      <c r="B177" s="48"/>
      <c r="C177" s="48"/>
      <c r="D177" s="48"/>
      <c r="E177" s="48"/>
      <c r="F177" s="48"/>
      <c r="G177" s="48"/>
      <c r="H177" s="48"/>
      <c r="I177" s="48"/>
      <c r="J177" s="48"/>
      <c r="K177" s="48"/>
      <c r="L177" s="48"/>
      <c r="M177" s="48"/>
      <c r="N177" s="48"/>
      <c r="O177" s="48"/>
      <c r="P177" s="48"/>
      <c r="Q177" s="48"/>
      <c r="R177" s="48"/>
      <c r="S177" s="48"/>
      <c r="T177" s="48"/>
      <c r="U177" s="48"/>
      <c r="V177" s="48"/>
    </row>
    <row r="178" spans="2:22" s="46" customFormat="1" ht="15" customHeight="1">
      <c r="B178" s="48"/>
      <c r="C178" s="48"/>
      <c r="D178" s="48"/>
      <c r="E178" s="48"/>
      <c r="F178" s="48"/>
      <c r="G178" s="48"/>
      <c r="H178" s="48"/>
      <c r="I178" s="48"/>
      <c r="J178" s="48"/>
      <c r="K178" s="48"/>
      <c r="L178" s="48"/>
      <c r="M178" s="48"/>
      <c r="N178" s="48"/>
      <c r="O178" s="48"/>
      <c r="P178" s="48"/>
      <c r="Q178" s="48"/>
      <c r="R178" s="48"/>
      <c r="S178" s="48"/>
      <c r="T178" s="48"/>
      <c r="U178" s="48"/>
      <c r="V178" s="48"/>
    </row>
    <row r="179" spans="2:22" s="46" customFormat="1" ht="15" customHeight="1">
      <c r="B179" s="48"/>
      <c r="C179" s="48"/>
      <c r="D179" s="48"/>
      <c r="E179" s="48"/>
      <c r="F179" s="48"/>
      <c r="G179" s="48"/>
      <c r="H179" s="48"/>
      <c r="I179" s="48"/>
      <c r="J179" s="48"/>
      <c r="K179" s="48"/>
      <c r="L179" s="48"/>
      <c r="M179" s="48"/>
      <c r="N179" s="48"/>
      <c r="O179" s="48"/>
      <c r="P179" s="48"/>
      <c r="Q179" s="48"/>
      <c r="R179" s="48"/>
      <c r="S179" s="48"/>
      <c r="T179" s="48"/>
      <c r="U179" s="48"/>
      <c r="V179" s="48"/>
    </row>
    <row r="180" spans="2:22" s="46" customFormat="1" ht="15" customHeight="1">
      <c r="B180" s="48"/>
      <c r="C180" s="48"/>
      <c r="D180" s="48"/>
      <c r="E180" s="48"/>
      <c r="F180" s="48"/>
      <c r="G180" s="48"/>
      <c r="H180" s="48"/>
      <c r="I180" s="48"/>
      <c r="J180" s="48"/>
      <c r="K180" s="48"/>
      <c r="L180" s="48"/>
      <c r="M180" s="48"/>
      <c r="N180" s="48"/>
      <c r="O180" s="48"/>
      <c r="P180" s="48"/>
      <c r="Q180" s="48"/>
      <c r="R180" s="48"/>
      <c r="S180" s="48"/>
      <c r="T180" s="48"/>
      <c r="U180" s="48"/>
      <c r="V180" s="48"/>
    </row>
    <row r="181" spans="2:22" s="46" customFormat="1" ht="15" customHeight="1">
      <c r="B181" s="48"/>
      <c r="C181" s="48"/>
      <c r="D181" s="48"/>
      <c r="E181" s="48"/>
      <c r="F181" s="48"/>
      <c r="G181" s="48"/>
      <c r="H181" s="48"/>
      <c r="I181" s="48"/>
      <c r="J181" s="48"/>
      <c r="K181" s="48"/>
      <c r="L181" s="48"/>
      <c r="M181" s="48"/>
      <c r="N181" s="48"/>
      <c r="O181" s="48"/>
      <c r="P181" s="48"/>
      <c r="Q181" s="48"/>
      <c r="R181" s="48"/>
      <c r="S181" s="48"/>
      <c r="T181" s="48"/>
      <c r="U181" s="48"/>
      <c r="V181" s="48"/>
    </row>
    <row r="182" spans="2:22" s="46" customFormat="1" ht="15" customHeight="1">
      <c r="B182" s="48"/>
      <c r="C182" s="48"/>
      <c r="D182" s="48"/>
      <c r="E182" s="48"/>
      <c r="F182" s="48"/>
      <c r="G182" s="48"/>
      <c r="H182" s="48"/>
      <c r="I182" s="48"/>
      <c r="J182" s="48"/>
      <c r="K182" s="48"/>
      <c r="L182" s="48"/>
      <c r="M182" s="48"/>
      <c r="N182" s="48"/>
      <c r="O182" s="48"/>
      <c r="P182" s="48"/>
      <c r="Q182" s="48"/>
      <c r="R182" s="48"/>
      <c r="S182" s="48"/>
      <c r="T182" s="48"/>
      <c r="U182" s="48"/>
      <c r="V182" s="48"/>
    </row>
    <row r="183" spans="2:22" s="46" customFormat="1" ht="15" customHeight="1">
      <c r="B183" s="48"/>
      <c r="C183" s="48"/>
      <c r="D183" s="48"/>
      <c r="E183" s="48"/>
      <c r="F183" s="48"/>
      <c r="G183" s="48"/>
      <c r="H183" s="48"/>
      <c r="I183" s="48"/>
      <c r="J183" s="48"/>
      <c r="K183" s="48"/>
      <c r="L183" s="48"/>
      <c r="M183" s="48"/>
      <c r="N183" s="48"/>
      <c r="O183" s="48"/>
      <c r="P183" s="48"/>
      <c r="Q183" s="48"/>
      <c r="R183" s="48"/>
      <c r="S183" s="48"/>
      <c r="T183" s="48"/>
      <c r="U183" s="48"/>
      <c r="V183" s="48"/>
    </row>
    <row r="184" spans="2:22" s="46" customFormat="1" ht="15" customHeight="1">
      <c r="B184" s="48"/>
      <c r="C184" s="48"/>
      <c r="D184" s="48"/>
      <c r="E184" s="48"/>
      <c r="F184" s="48"/>
      <c r="G184" s="48"/>
      <c r="H184" s="48"/>
      <c r="I184" s="48"/>
      <c r="J184" s="48"/>
      <c r="K184" s="48"/>
      <c r="L184" s="48"/>
      <c r="M184" s="48"/>
      <c r="N184" s="48"/>
      <c r="O184" s="48"/>
      <c r="P184" s="48"/>
      <c r="Q184" s="48"/>
      <c r="R184" s="48"/>
      <c r="S184" s="48"/>
      <c r="T184" s="48"/>
      <c r="U184" s="48"/>
      <c r="V184" s="48"/>
    </row>
    <row r="185" spans="2:22" s="46" customFormat="1" ht="15" customHeight="1">
      <c r="B185" s="48"/>
      <c r="C185" s="48"/>
      <c r="D185" s="48"/>
      <c r="E185" s="48"/>
      <c r="F185" s="48"/>
      <c r="G185" s="48"/>
      <c r="H185" s="48"/>
      <c r="I185" s="48"/>
      <c r="J185" s="48"/>
      <c r="K185" s="48"/>
      <c r="L185" s="48"/>
      <c r="M185" s="48"/>
      <c r="N185" s="48"/>
      <c r="O185" s="48"/>
      <c r="P185" s="48"/>
      <c r="Q185" s="48"/>
      <c r="R185" s="48"/>
      <c r="S185" s="48"/>
      <c r="T185" s="48"/>
      <c r="U185" s="48"/>
      <c r="V185" s="48"/>
    </row>
    <row r="186" spans="2:22" s="46" customFormat="1" ht="15" customHeight="1">
      <c r="B186" s="48"/>
      <c r="C186" s="48"/>
      <c r="D186" s="48"/>
      <c r="E186" s="48"/>
      <c r="F186" s="48"/>
      <c r="G186" s="48"/>
      <c r="H186" s="48"/>
      <c r="I186" s="48"/>
      <c r="J186" s="48"/>
      <c r="K186" s="48"/>
      <c r="L186" s="48"/>
      <c r="M186" s="48"/>
      <c r="N186" s="48"/>
      <c r="O186" s="48"/>
      <c r="P186" s="48"/>
      <c r="Q186" s="48"/>
      <c r="R186" s="48"/>
      <c r="S186" s="48"/>
      <c r="T186" s="48"/>
      <c r="U186" s="48"/>
      <c r="V186" s="48"/>
    </row>
    <row r="187" spans="2:22" s="46" customFormat="1" ht="15" customHeight="1">
      <c r="B187" s="48"/>
      <c r="C187" s="48"/>
      <c r="D187" s="48"/>
      <c r="E187" s="48"/>
      <c r="F187" s="48"/>
      <c r="G187" s="48"/>
      <c r="H187" s="48"/>
      <c r="I187" s="48"/>
      <c r="J187" s="48"/>
      <c r="K187" s="48"/>
      <c r="L187" s="48"/>
      <c r="M187" s="48"/>
      <c r="N187" s="48"/>
      <c r="O187" s="48"/>
      <c r="P187" s="48"/>
      <c r="Q187" s="48"/>
      <c r="R187" s="48"/>
      <c r="S187" s="48"/>
      <c r="T187" s="48"/>
      <c r="U187" s="48"/>
      <c r="V187" s="48"/>
    </row>
    <row r="188" spans="2:22" s="46" customFormat="1" ht="15" customHeight="1">
      <c r="B188" s="48"/>
      <c r="C188" s="48"/>
      <c r="D188" s="48"/>
      <c r="E188" s="48"/>
      <c r="F188" s="48"/>
      <c r="G188" s="48"/>
      <c r="H188" s="48"/>
      <c r="I188" s="48"/>
      <c r="J188" s="48"/>
      <c r="K188" s="48"/>
      <c r="L188" s="48"/>
      <c r="M188" s="48"/>
      <c r="N188" s="48"/>
      <c r="O188" s="48"/>
      <c r="P188" s="48"/>
      <c r="Q188" s="48"/>
      <c r="R188" s="48"/>
      <c r="S188" s="48"/>
      <c r="T188" s="48"/>
      <c r="U188" s="48"/>
      <c r="V188" s="48"/>
    </row>
    <row r="189" spans="2:22" s="46" customFormat="1" ht="15" customHeight="1">
      <c r="B189" s="48"/>
      <c r="C189" s="48"/>
      <c r="D189" s="48"/>
      <c r="E189" s="48"/>
      <c r="F189" s="48"/>
      <c r="G189" s="48"/>
      <c r="H189" s="48"/>
      <c r="I189" s="48"/>
      <c r="J189" s="48"/>
      <c r="K189" s="48"/>
      <c r="L189" s="48"/>
      <c r="M189" s="48"/>
      <c r="N189" s="48"/>
      <c r="O189" s="48"/>
      <c r="P189" s="48"/>
      <c r="Q189" s="48"/>
      <c r="R189" s="48"/>
      <c r="S189" s="48"/>
      <c r="T189" s="48"/>
      <c r="U189" s="48"/>
      <c r="V189" s="48"/>
    </row>
    <row r="190" spans="2:22" s="46" customFormat="1" ht="15" customHeight="1">
      <c r="B190" s="48"/>
      <c r="C190" s="48"/>
      <c r="D190" s="48"/>
      <c r="E190" s="48"/>
      <c r="F190" s="48"/>
      <c r="G190" s="48"/>
      <c r="H190" s="48"/>
      <c r="I190" s="48"/>
      <c r="J190" s="48"/>
      <c r="K190" s="48"/>
      <c r="L190" s="48"/>
      <c r="M190" s="48"/>
      <c r="N190" s="48"/>
      <c r="O190" s="48"/>
      <c r="P190" s="48"/>
      <c r="Q190" s="48"/>
      <c r="R190" s="48"/>
      <c r="S190" s="48"/>
      <c r="T190" s="48"/>
      <c r="U190" s="48"/>
      <c r="V190" s="48"/>
    </row>
    <row r="191" spans="2:22" s="46" customFormat="1" ht="15" customHeight="1">
      <c r="B191" s="48"/>
      <c r="C191" s="48"/>
      <c r="D191" s="48"/>
      <c r="E191" s="48"/>
      <c r="F191" s="48"/>
      <c r="G191" s="48"/>
      <c r="H191" s="48"/>
      <c r="I191" s="48"/>
      <c r="J191" s="48"/>
      <c r="K191" s="48"/>
      <c r="L191" s="48"/>
      <c r="M191" s="48"/>
      <c r="N191" s="48"/>
      <c r="O191" s="48"/>
      <c r="P191" s="48"/>
      <c r="Q191" s="48"/>
      <c r="R191" s="48"/>
      <c r="S191" s="48"/>
      <c r="T191" s="48"/>
      <c r="U191" s="48"/>
      <c r="V191" s="48"/>
    </row>
    <row r="192" spans="2:22" s="46" customFormat="1" ht="15" customHeight="1">
      <c r="B192" s="48"/>
      <c r="C192" s="48"/>
      <c r="D192" s="48"/>
      <c r="E192" s="48"/>
      <c r="F192" s="48"/>
      <c r="G192" s="48"/>
      <c r="H192" s="48"/>
      <c r="I192" s="48"/>
      <c r="J192" s="48"/>
      <c r="K192" s="48"/>
      <c r="L192" s="48"/>
      <c r="M192" s="48"/>
      <c r="N192" s="48"/>
      <c r="O192" s="48"/>
      <c r="P192" s="48"/>
      <c r="Q192" s="48"/>
      <c r="R192" s="48"/>
      <c r="S192" s="48"/>
      <c r="T192" s="48"/>
      <c r="U192" s="48"/>
      <c r="V192" s="48"/>
    </row>
    <row r="193" spans="2:22" s="46" customFormat="1" ht="15" customHeight="1">
      <c r="B193" s="48"/>
      <c r="C193" s="48"/>
      <c r="D193" s="48"/>
      <c r="E193" s="48"/>
      <c r="F193" s="48"/>
      <c r="G193" s="48"/>
      <c r="H193" s="48"/>
      <c r="I193" s="48"/>
      <c r="J193" s="48"/>
      <c r="K193" s="48"/>
      <c r="L193" s="48"/>
      <c r="M193" s="48"/>
      <c r="N193" s="48"/>
      <c r="O193" s="48"/>
      <c r="P193" s="48"/>
      <c r="Q193" s="48"/>
      <c r="R193" s="48"/>
      <c r="S193" s="48"/>
      <c r="T193" s="48"/>
      <c r="U193" s="48"/>
      <c r="V193" s="48"/>
    </row>
    <row r="194" spans="2:22" s="46" customFormat="1" ht="15" customHeight="1">
      <c r="B194" s="48"/>
      <c r="C194" s="48"/>
      <c r="D194" s="48"/>
      <c r="E194" s="48"/>
      <c r="F194" s="48"/>
      <c r="G194" s="48"/>
      <c r="H194" s="48"/>
      <c r="I194" s="48"/>
      <c r="J194" s="48"/>
      <c r="K194" s="48"/>
      <c r="L194" s="48"/>
      <c r="M194" s="48"/>
      <c r="N194" s="48"/>
      <c r="O194" s="48"/>
      <c r="P194" s="48"/>
      <c r="Q194" s="48"/>
      <c r="R194" s="48"/>
      <c r="S194" s="48"/>
      <c r="T194" s="48"/>
      <c r="U194" s="48"/>
      <c r="V194" s="48"/>
    </row>
    <row r="195" spans="2:22" s="46" customFormat="1" ht="15" customHeight="1">
      <c r="B195" s="48"/>
      <c r="C195" s="48"/>
      <c r="D195" s="48"/>
      <c r="E195" s="48"/>
      <c r="F195" s="48"/>
      <c r="G195" s="48"/>
      <c r="H195" s="48"/>
      <c r="I195" s="48"/>
      <c r="J195" s="48"/>
      <c r="K195" s="48"/>
      <c r="L195" s="48"/>
      <c r="M195" s="48"/>
      <c r="N195" s="48"/>
      <c r="O195" s="48"/>
      <c r="P195" s="48"/>
      <c r="Q195" s="48"/>
      <c r="R195" s="48"/>
      <c r="S195" s="48"/>
      <c r="T195" s="48"/>
      <c r="U195" s="48"/>
      <c r="V195" s="48"/>
    </row>
    <row r="196" spans="2:22" s="46" customFormat="1" ht="15" customHeight="1">
      <c r="B196" s="48"/>
      <c r="C196" s="48"/>
      <c r="D196" s="48"/>
      <c r="E196" s="48"/>
      <c r="F196" s="48"/>
      <c r="G196" s="48"/>
      <c r="H196" s="48"/>
      <c r="I196" s="48"/>
      <c r="J196" s="48"/>
      <c r="K196" s="48"/>
      <c r="L196" s="48"/>
      <c r="M196" s="48"/>
      <c r="N196" s="48"/>
      <c r="O196" s="48"/>
      <c r="P196" s="48"/>
      <c r="Q196" s="48"/>
      <c r="R196" s="48"/>
      <c r="S196" s="48"/>
      <c r="T196" s="48"/>
      <c r="U196" s="48"/>
      <c r="V196" s="48"/>
    </row>
    <row r="197" spans="2:22" s="46" customFormat="1" ht="15" customHeight="1">
      <c r="B197" s="48"/>
      <c r="C197" s="48"/>
      <c r="D197" s="48"/>
      <c r="E197" s="48"/>
      <c r="F197" s="48"/>
      <c r="G197" s="48"/>
      <c r="H197" s="48"/>
      <c r="I197" s="48"/>
      <c r="J197" s="48"/>
      <c r="K197" s="48"/>
      <c r="L197" s="48"/>
      <c r="M197" s="48"/>
      <c r="N197" s="48"/>
      <c r="O197" s="48"/>
      <c r="P197" s="48"/>
      <c r="Q197" s="48"/>
      <c r="R197" s="48"/>
      <c r="S197" s="48"/>
      <c r="T197" s="48"/>
      <c r="U197" s="48"/>
      <c r="V197" s="48"/>
    </row>
    <row r="198" spans="2:22" s="46" customFormat="1" ht="15" customHeight="1">
      <c r="B198" s="48"/>
      <c r="C198" s="48"/>
      <c r="D198" s="48"/>
      <c r="E198" s="48"/>
      <c r="F198" s="48"/>
      <c r="G198" s="48"/>
      <c r="H198" s="48"/>
      <c r="I198" s="48"/>
      <c r="J198" s="48"/>
      <c r="K198" s="48"/>
      <c r="L198" s="48"/>
      <c r="M198" s="48"/>
      <c r="N198" s="48"/>
      <c r="O198" s="48"/>
      <c r="P198" s="48"/>
      <c r="Q198" s="48"/>
      <c r="R198" s="48"/>
      <c r="S198" s="48"/>
      <c r="T198" s="48"/>
      <c r="U198" s="48"/>
      <c r="V198" s="48"/>
    </row>
    <row r="199" spans="2:22" s="46" customFormat="1" ht="15" customHeight="1">
      <c r="B199" s="48"/>
      <c r="C199" s="48"/>
      <c r="D199" s="48"/>
      <c r="E199" s="48"/>
      <c r="F199" s="48"/>
      <c r="G199" s="48"/>
      <c r="H199" s="48"/>
      <c r="I199" s="48"/>
      <c r="J199" s="48"/>
      <c r="K199" s="48"/>
      <c r="L199" s="48"/>
      <c r="M199" s="48"/>
      <c r="N199" s="48"/>
      <c r="O199" s="48"/>
      <c r="P199" s="48"/>
      <c r="Q199" s="48"/>
      <c r="R199" s="48"/>
      <c r="S199" s="48"/>
      <c r="T199" s="48"/>
      <c r="U199" s="48"/>
      <c r="V199" s="48"/>
    </row>
    <row r="200" spans="2:22" s="46" customFormat="1" ht="15" customHeight="1">
      <c r="B200" s="48"/>
      <c r="C200" s="48"/>
      <c r="D200" s="48"/>
      <c r="E200" s="48"/>
      <c r="F200" s="48"/>
      <c r="G200" s="48"/>
      <c r="H200" s="48"/>
      <c r="I200" s="48"/>
      <c r="J200" s="48"/>
      <c r="K200" s="48"/>
      <c r="L200" s="48"/>
      <c r="M200" s="48"/>
      <c r="N200" s="48"/>
      <c r="O200" s="48"/>
      <c r="P200" s="48"/>
      <c r="Q200" s="48"/>
      <c r="R200" s="48"/>
      <c r="S200" s="48"/>
      <c r="T200" s="48"/>
      <c r="U200" s="48"/>
      <c r="V200" s="48"/>
    </row>
    <row r="201" spans="2:22" s="46" customFormat="1" ht="15" customHeight="1">
      <c r="B201" s="48"/>
      <c r="C201" s="48"/>
      <c r="D201" s="48"/>
      <c r="E201" s="48"/>
      <c r="F201" s="48"/>
      <c r="G201" s="48"/>
      <c r="H201" s="48"/>
      <c r="I201" s="48"/>
      <c r="J201" s="48"/>
      <c r="K201" s="48"/>
      <c r="L201" s="48"/>
      <c r="M201" s="48"/>
      <c r="N201" s="48"/>
      <c r="O201" s="48"/>
      <c r="P201" s="48"/>
      <c r="Q201" s="48"/>
      <c r="R201" s="48"/>
      <c r="S201" s="48"/>
      <c r="T201" s="48"/>
      <c r="U201" s="48"/>
      <c r="V201" s="48"/>
    </row>
    <row r="202" spans="2:22" s="46" customFormat="1" ht="15" customHeight="1">
      <c r="B202" s="48"/>
      <c r="C202" s="48"/>
      <c r="D202" s="48"/>
      <c r="E202" s="48"/>
      <c r="F202" s="48"/>
      <c r="G202" s="48"/>
      <c r="H202" s="48"/>
      <c r="I202" s="48"/>
      <c r="J202" s="48"/>
      <c r="K202" s="48"/>
      <c r="L202" s="48"/>
      <c r="M202" s="48"/>
      <c r="N202" s="48"/>
      <c r="O202" s="48"/>
      <c r="P202" s="48"/>
      <c r="Q202" s="48"/>
      <c r="R202" s="48"/>
      <c r="S202" s="48"/>
      <c r="T202" s="48"/>
      <c r="U202" s="48"/>
      <c r="V202" s="48"/>
    </row>
    <row r="203" spans="2:22" s="46" customFormat="1" ht="15" customHeight="1">
      <c r="B203" s="48"/>
      <c r="C203" s="48"/>
      <c r="D203" s="48"/>
      <c r="E203" s="48"/>
      <c r="F203" s="48"/>
      <c r="G203" s="48"/>
      <c r="H203" s="48"/>
      <c r="I203" s="48"/>
      <c r="J203" s="48"/>
      <c r="K203" s="48"/>
      <c r="L203" s="48"/>
      <c r="M203" s="48"/>
      <c r="N203" s="48"/>
      <c r="O203" s="48"/>
      <c r="P203" s="48"/>
      <c r="Q203" s="48"/>
      <c r="R203" s="48"/>
      <c r="S203" s="48"/>
      <c r="T203" s="48"/>
      <c r="U203" s="48"/>
      <c r="V203" s="48"/>
    </row>
    <row r="204" spans="2:22" s="46" customFormat="1" ht="15" customHeight="1">
      <c r="B204" s="48"/>
      <c r="C204" s="48"/>
      <c r="D204" s="48"/>
      <c r="E204" s="48"/>
      <c r="F204" s="48"/>
      <c r="G204" s="48"/>
      <c r="H204" s="48"/>
      <c r="I204" s="48"/>
      <c r="J204" s="48"/>
      <c r="K204" s="48"/>
      <c r="L204" s="48"/>
      <c r="M204" s="48"/>
      <c r="N204" s="48"/>
      <c r="O204" s="48"/>
      <c r="P204" s="48"/>
      <c r="Q204" s="48"/>
      <c r="R204" s="48"/>
      <c r="S204" s="48"/>
      <c r="T204" s="48"/>
      <c r="U204" s="48"/>
      <c r="V204" s="48"/>
    </row>
    <row r="205" spans="2:22" s="46" customFormat="1" ht="15" customHeight="1">
      <c r="B205" s="48"/>
      <c r="C205" s="48"/>
      <c r="D205" s="48"/>
      <c r="E205" s="48"/>
      <c r="F205" s="48"/>
      <c r="G205" s="48"/>
      <c r="H205" s="48"/>
      <c r="I205" s="48"/>
      <c r="J205" s="48"/>
      <c r="K205" s="48"/>
      <c r="L205" s="48"/>
      <c r="M205" s="48"/>
      <c r="N205" s="48"/>
      <c r="O205" s="48"/>
      <c r="P205" s="48"/>
      <c r="Q205" s="48"/>
      <c r="R205" s="48"/>
      <c r="S205" s="48"/>
      <c r="T205" s="48"/>
      <c r="U205" s="48"/>
      <c r="V205" s="48"/>
    </row>
    <row r="206" spans="2:22" s="46" customFormat="1" ht="15" customHeight="1">
      <c r="B206" s="48"/>
      <c r="C206" s="48"/>
      <c r="D206" s="48"/>
      <c r="E206" s="48"/>
      <c r="F206" s="48"/>
      <c r="G206" s="48"/>
      <c r="H206" s="48"/>
      <c r="I206" s="48"/>
      <c r="J206" s="48"/>
      <c r="K206" s="48"/>
      <c r="L206" s="48"/>
      <c r="M206" s="48"/>
      <c r="N206" s="48"/>
      <c r="O206" s="48"/>
      <c r="P206" s="48"/>
      <c r="Q206" s="48"/>
      <c r="R206" s="48"/>
      <c r="S206" s="48"/>
      <c r="T206" s="48"/>
      <c r="U206" s="48"/>
      <c r="V206" s="48"/>
    </row>
    <row r="207" spans="2:22" s="46" customFormat="1" ht="15" customHeight="1">
      <c r="B207" s="48"/>
      <c r="C207" s="48"/>
      <c r="D207" s="48"/>
      <c r="E207" s="48"/>
      <c r="F207" s="48"/>
      <c r="G207" s="48"/>
      <c r="H207" s="48"/>
      <c r="I207" s="48"/>
      <c r="J207" s="48"/>
      <c r="K207" s="48"/>
      <c r="L207" s="48"/>
      <c r="M207" s="48"/>
      <c r="N207" s="48"/>
      <c r="O207" s="48"/>
      <c r="P207" s="48"/>
      <c r="Q207" s="48"/>
      <c r="R207" s="48"/>
      <c r="S207" s="48"/>
      <c r="T207" s="48"/>
      <c r="U207" s="48"/>
      <c r="V207" s="48"/>
    </row>
    <row r="208" spans="2:22" s="46" customFormat="1" ht="15" customHeight="1">
      <c r="B208" s="48"/>
      <c r="C208" s="48"/>
      <c r="D208" s="48"/>
      <c r="E208" s="48"/>
      <c r="F208" s="48"/>
      <c r="G208" s="48"/>
      <c r="H208" s="48"/>
      <c r="I208" s="48"/>
      <c r="J208" s="48"/>
      <c r="K208" s="48"/>
      <c r="L208" s="48"/>
      <c r="M208" s="48"/>
      <c r="N208" s="48"/>
      <c r="O208" s="48"/>
      <c r="P208" s="48"/>
      <c r="Q208" s="48"/>
      <c r="R208" s="48"/>
      <c r="S208" s="48"/>
      <c r="T208" s="48"/>
      <c r="U208" s="48"/>
      <c r="V208" s="48"/>
    </row>
    <row r="209" spans="2:22" s="46" customFormat="1" ht="15" customHeight="1">
      <c r="B209" s="48"/>
      <c r="C209" s="48"/>
      <c r="D209" s="48"/>
      <c r="E209" s="48"/>
      <c r="F209" s="48"/>
      <c r="G209" s="48"/>
      <c r="H209" s="48"/>
      <c r="I209" s="48"/>
      <c r="J209" s="48"/>
      <c r="K209" s="48"/>
      <c r="L209" s="48"/>
      <c r="M209" s="48"/>
      <c r="N209" s="48"/>
      <c r="O209" s="48"/>
      <c r="P209" s="48"/>
      <c r="Q209" s="48"/>
      <c r="R209" s="48"/>
      <c r="S209" s="48"/>
      <c r="T209" s="48"/>
      <c r="U209" s="48"/>
      <c r="V209" s="48"/>
    </row>
    <row r="210" spans="2:22" s="46" customFormat="1" ht="15" customHeight="1">
      <c r="B210" s="48"/>
      <c r="C210" s="48"/>
      <c r="D210" s="48"/>
      <c r="E210" s="48"/>
      <c r="F210" s="48"/>
      <c r="G210" s="48"/>
      <c r="H210" s="48"/>
      <c r="I210" s="48"/>
      <c r="J210" s="48"/>
      <c r="K210" s="48"/>
      <c r="L210" s="48"/>
      <c r="M210" s="48"/>
      <c r="N210" s="48"/>
      <c r="O210" s="48"/>
      <c r="P210" s="48"/>
      <c r="Q210" s="48"/>
      <c r="R210" s="48"/>
      <c r="S210" s="48"/>
      <c r="T210" s="48"/>
      <c r="U210" s="48"/>
      <c r="V210" s="48"/>
    </row>
    <row r="211" spans="2:22" s="46" customFormat="1" ht="15" customHeight="1">
      <c r="B211" s="48"/>
      <c r="C211" s="48"/>
      <c r="D211" s="48"/>
      <c r="E211" s="48"/>
      <c r="F211" s="48"/>
      <c r="G211" s="48"/>
      <c r="H211" s="48"/>
      <c r="I211" s="48"/>
      <c r="J211" s="48"/>
      <c r="K211" s="48"/>
      <c r="L211" s="48"/>
      <c r="M211" s="48"/>
      <c r="N211" s="48"/>
      <c r="O211" s="48"/>
      <c r="P211" s="48"/>
      <c r="Q211" s="48"/>
      <c r="R211" s="48"/>
      <c r="S211" s="48"/>
      <c r="T211" s="48"/>
      <c r="U211" s="48"/>
      <c r="V211" s="48"/>
    </row>
    <row r="212" spans="2:22" s="46" customFormat="1" ht="15" customHeight="1">
      <c r="B212" s="48"/>
      <c r="C212" s="48"/>
      <c r="D212" s="48"/>
      <c r="E212" s="48"/>
      <c r="F212" s="48"/>
      <c r="G212" s="48"/>
      <c r="H212" s="48"/>
      <c r="I212" s="48"/>
      <c r="J212" s="48"/>
      <c r="K212" s="48"/>
      <c r="L212" s="48"/>
      <c r="M212" s="48"/>
      <c r="N212" s="48"/>
      <c r="O212" s="48"/>
      <c r="P212" s="48"/>
      <c r="Q212" s="48"/>
      <c r="R212" s="48"/>
      <c r="S212" s="48"/>
      <c r="T212" s="48"/>
      <c r="U212" s="48"/>
      <c r="V212" s="48"/>
    </row>
    <row r="213" spans="2:22" s="46" customFormat="1" ht="15" customHeight="1">
      <c r="B213" s="48"/>
      <c r="C213" s="48"/>
      <c r="D213" s="48"/>
      <c r="E213" s="48"/>
      <c r="F213" s="48"/>
      <c r="G213" s="48"/>
      <c r="H213" s="48"/>
      <c r="I213" s="48"/>
      <c r="J213" s="48"/>
      <c r="K213" s="48"/>
      <c r="L213" s="48"/>
      <c r="M213" s="48"/>
      <c r="N213" s="48"/>
      <c r="O213" s="48"/>
      <c r="P213" s="48"/>
      <c r="Q213" s="48"/>
      <c r="R213" s="48"/>
      <c r="S213" s="48"/>
      <c r="T213" s="48"/>
      <c r="U213" s="48"/>
      <c r="V213" s="48"/>
    </row>
    <row r="214" spans="2:22" s="46" customFormat="1" ht="15" customHeight="1">
      <c r="B214" s="48"/>
      <c r="C214" s="48"/>
      <c r="D214" s="48"/>
      <c r="E214" s="48"/>
      <c r="F214" s="48"/>
      <c r="G214" s="48"/>
      <c r="H214" s="48"/>
      <c r="I214" s="48"/>
      <c r="J214" s="48"/>
      <c r="K214" s="48"/>
      <c r="L214" s="48"/>
      <c r="M214" s="48"/>
      <c r="N214" s="48"/>
      <c r="O214" s="48"/>
      <c r="P214" s="48"/>
      <c r="Q214" s="48"/>
      <c r="R214" s="48"/>
      <c r="S214" s="48"/>
      <c r="T214" s="48"/>
      <c r="U214" s="48"/>
      <c r="V214" s="48"/>
    </row>
    <row r="215" spans="2:22" s="46" customFormat="1" ht="15" customHeight="1">
      <c r="B215" s="48"/>
      <c r="C215" s="48"/>
      <c r="D215" s="48"/>
      <c r="E215" s="48"/>
      <c r="F215" s="48"/>
      <c r="G215" s="48"/>
      <c r="H215" s="48"/>
      <c r="I215" s="48"/>
      <c r="J215" s="48"/>
      <c r="K215" s="48"/>
      <c r="L215" s="48"/>
      <c r="M215" s="48"/>
      <c r="N215" s="48"/>
      <c r="O215" s="48"/>
      <c r="P215" s="48"/>
      <c r="Q215" s="48"/>
      <c r="R215" s="48"/>
      <c r="S215" s="48"/>
      <c r="T215" s="48"/>
      <c r="U215" s="48"/>
      <c r="V215" s="48"/>
    </row>
    <row r="216" spans="2:22" s="46" customFormat="1" ht="15" customHeight="1">
      <c r="B216" s="48"/>
      <c r="C216" s="48"/>
      <c r="D216" s="48"/>
      <c r="E216" s="48"/>
      <c r="F216" s="48"/>
      <c r="G216" s="48"/>
      <c r="H216" s="48"/>
      <c r="I216" s="48"/>
      <c r="J216" s="48"/>
      <c r="K216" s="48"/>
      <c r="L216" s="48"/>
      <c r="M216" s="48"/>
      <c r="N216" s="48"/>
      <c r="O216" s="48"/>
      <c r="P216" s="48"/>
      <c r="Q216" s="48"/>
      <c r="R216" s="48"/>
      <c r="S216" s="48"/>
      <c r="T216" s="48"/>
      <c r="U216" s="48"/>
      <c r="V216" s="48"/>
    </row>
    <row r="217" spans="2:22" s="46" customFormat="1" ht="15" customHeight="1">
      <c r="B217" s="48"/>
      <c r="C217" s="48"/>
      <c r="D217" s="48"/>
      <c r="E217" s="48"/>
      <c r="F217" s="48"/>
      <c r="G217" s="48"/>
      <c r="H217" s="48"/>
      <c r="I217" s="48"/>
      <c r="J217" s="48"/>
      <c r="K217" s="48"/>
      <c r="L217" s="48"/>
      <c r="M217" s="48"/>
      <c r="N217" s="48"/>
      <c r="O217" s="48"/>
      <c r="P217" s="48"/>
      <c r="Q217" s="48"/>
      <c r="R217" s="48"/>
      <c r="S217" s="48"/>
      <c r="T217" s="48"/>
      <c r="U217" s="48"/>
      <c r="V217" s="48"/>
    </row>
    <row r="218" spans="2:22" s="46" customFormat="1" ht="15" customHeight="1">
      <c r="B218" s="48"/>
      <c r="C218" s="48"/>
      <c r="D218" s="48"/>
      <c r="E218" s="48"/>
      <c r="F218" s="48"/>
      <c r="G218" s="48"/>
      <c r="H218" s="48"/>
      <c r="I218" s="48"/>
      <c r="J218" s="48"/>
      <c r="K218" s="48"/>
      <c r="L218" s="48"/>
      <c r="M218" s="48"/>
      <c r="N218" s="48"/>
      <c r="O218" s="48"/>
      <c r="P218" s="48"/>
      <c r="Q218" s="48"/>
      <c r="R218" s="48"/>
      <c r="S218" s="48"/>
      <c r="T218" s="48"/>
      <c r="U218" s="48"/>
      <c r="V218" s="48"/>
    </row>
    <row r="219" spans="2:22" s="46" customFormat="1" ht="15" customHeight="1">
      <c r="B219" s="48"/>
      <c r="C219" s="48"/>
      <c r="D219" s="48"/>
      <c r="E219" s="48"/>
      <c r="F219" s="48"/>
      <c r="G219" s="48"/>
      <c r="H219" s="48"/>
      <c r="I219" s="48"/>
      <c r="J219" s="48"/>
      <c r="K219" s="48"/>
      <c r="L219" s="48"/>
      <c r="M219" s="48"/>
      <c r="N219" s="48"/>
      <c r="O219" s="48"/>
      <c r="P219" s="48"/>
      <c r="Q219" s="48"/>
      <c r="R219" s="48"/>
      <c r="S219" s="48"/>
      <c r="T219" s="48"/>
      <c r="U219" s="48"/>
      <c r="V219" s="48"/>
    </row>
    <row r="220" spans="2:22" s="46" customFormat="1" ht="15" customHeight="1">
      <c r="B220" s="48"/>
      <c r="C220" s="48"/>
      <c r="D220" s="48"/>
      <c r="E220" s="48"/>
      <c r="F220" s="48"/>
      <c r="G220" s="48"/>
      <c r="H220" s="48"/>
      <c r="I220" s="48"/>
      <c r="J220" s="48"/>
      <c r="K220" s="48"/>
      <c r="L220" s="48"/>
      <c r="M220" s="48"/>
      <c r="N220" s="48"/>
      <c r="O220" s="48"/>
      <c r="P220" s="48"/>
      <c r="Q220" s="48"/>
      <c r="R220" s="48"/>
      <c r="S220" s="48"/>
      <c r="T220" s="48"/>
      <c r="U220" s="48"/>
      <c r="V220" s="48"/>
    </row>
    <row r="221" spans="2:22" s="46" customFormat="1" ht="15" customHeight="1">
      <c r="B221" s="48"/>
      <c r="C221" s="48"/>
      <c r="D221" s="48"/>
      <c r="E221" s="48"/>
      <c r="F221" s="48"/>
      <c r="G221" s="48"/>
      <c r="H221" s="48"/>
      <c r="I221" s="48"/>
      <c r="J221" s="48"/>
      <c r="K221" s="48"/>
      <c r="L221" s="48"/>
      <c r="M221" s="48"/>
      <c r="N221" s="48"/>
      <c r="O221" s="48"/>
      <c r="P221" s="48"/>
      <c r="Q221" s="48"/>
      <c r="R221" s="48"/>
      <c r="S221" s="48"/>
      <c r="T221" s="48"/>
      <c r="U221" s="48"/>
      <c r="V221" s="48"/>
    </row>
    <row r="222" spans="2:22" s="46" customFormat="1" ht="15" customHeight="1">
      <c r="B222" s="48"/>
      <c r="C222" s="48"/>
      <c r="D222" s="48"/>
      <c r="E222" s="48"/>
      <c r="F222" s="48"/>
      <c r="G222" s="48"/>
      <c r="H222" s="48"/>
      <c r="I222" s="48"/>
      <c r="J222" s="48"/>
      <c r="K222" s="48"/>
      <c r="L222" s="48"/>
      <c r="M222" s="48"/>
      <c r="N222" s="48"/>
      <c r="O222" s="48"/>
      <c r="P222" s="48"/>
      <c r="Q222" s="48"/>
      <c r="R222" s="48"/>
      <c r="S222" s="48"/>
      <c r="T222" s="48"/>
      <c r="U222" s="48"/>
      <c r="V222" s="48"/>
    </row>
    <row r="223" spans="2:22" s="46" customFormat="1" ht="15" customHeight="1">
      <c r="B223" s="48"/>
      <c r="C223" s="48"/>
      <c r="D223" s="48"/>
      <c r="E223" s="48"/>
      <c r="F223" s="48"/>
      <c r="G223" s="48"/>
      <c r="H223" s="48"/>
      <c r="I223" s="48"/>
      <c r="J223" s="48"/>
      <c r="K223" s="48"/>
      <c r="L223" s="48"/>
      <c r="M223" s="48"/>
      <c r="N223" s="48"/>
      <c r="O223" s="48"/>
      <c r="P223" s="48"/>
      <c r="Q223" s="48"/>
      <c r="R223" s="48"/>
      <c r="S223" s="48"/>
      <c r="T223" s="48"/>
      <c r="U223" s="48"/>
      <c r="V223" s="48"/>
    </row>
    <row r="224" spans="2:22" s="46" customFormat="1" ht="15" customHeight="1">
      <c r="B224" s="48"/>
      <c r="C224" s="48"/>
      <c r="D224" s="48"/>
      <c r="E224" s="48"/>
      <c r="F224" s="48"/>
      <c r="G224" s="48"/>
      <c r="H224" s="48"/>
      <c r="I224" s="48"/>
      <c r="J224" s="48"/>
      <c r="K224" s="48"/>
      <c r="L224" s="48"/>
      <c r="M224" s="48"/>
      <c r="N224" s="48"/>
      <c r="O224" s="48"/>
      <c r="P224" s="48"/>
      <c r="Q224" s="48"/>
      <c r="R224" s="48"/>
      <c r="S224" s="48"/>
      <c r="T224" s="48"/>
      <c r="U224" s="48"/>
      <c r="V224" s="48"/>
    </row>
    <row r="225" spans="2:22" s="46" customFormat="1" ht="15" customHeight="1">
      <c r="B225" s="48"/>
      <c r="C225" s="48"/>
      <c r="D225" s="48"/>
      <c r="E225" s="48"/>
      <c r="F225" s="48"/>
      <c r="G225" s="48"/>
      <c r="H225" s="48"/>
      <c r="I225" s="48"/>
      <c r="J225" s="48"/>
      <c r="K225" s="48"/>
      <c r="L225" s="48"/>
      <c r="M225" s="48"/>
      <c r="N225" s="48"/>
      <c r="O225" s="48"/>
      <c r="P225" s="48"/>
      <c r="Q225" s="48"/>
      <c r="R225" s="48"/>
      <c r="S225" s="48"/>
      <c r="T225" s="48"/>
      <c r="U225" s="48"/>
      <c r="V225" s="48"/>
    </row>
    <row r="226" spans="2:22" s="46" customFormat="1" ht="15" customHeight="1">
      <c r="B226" s="48"/>
      <c r="C226" s="48"/>
      <c r="D226" s="48"/>
      <c r="E226" s="48"/>
      <c r="F226" s="48"/>
      <c r="G226" s="48"/>
      <c r="H226" s="48"/>
      <c r="I226" s="48"/>
      <c r="J226" s="48"/>
      <c r="K226" s="48"/>
      <c r="L226" s="48"/>
      <c r="M226" s="48"/>
      <c r="N226" s="48"/>
      <c r="O226" s="48"/>
      <c r="P226" s="48"/>
      <c r="Q226" s="48"/>
      <c r="R226" s="48"/>
      <c r="S226" s="48"/>
      <c r="T226" s="48"/>
      <c r="U226" s="48"/>
      <c r="V226" s="48"/>
    </row>
    <row r="227" spans="2:22" s="46" customFormat="1" ht="15" customHeight="1">
      <c r="B227" s="48"/>
      <c r="C227" s="48"/>
      <c r="D227" s="48"/>
      <c r="E227" s="48"/>
      <c r="F227" s="48"/>
      <c r="G227" s="48"/>
      <c r="H227" s="48"/>
      <c r="I227" s="48"/>
      <c r="J227" s="48"/>
      <c r="K227" s="48"/>
      <c r="L227" s="48"/>
      <c r="M227" s="48"/>
      <c r="N227" s="48"/>
      <c r="O227" s="48"/>
      <c r="P227" s="48"/>
      <c r="Q227" s="48"/>
      <c r="R227" s="48"/>
      <c r="S227" s="48"/>
      <c r="T227" s="48"/>
      <c r="U227" s="48"/>
      <c r="V227" s="48"/>
    </row>
    <row r="228" spans="2:22" s="46" customFormat="1" ht="15" customHeight="1">
      <c r="B228" s="48"/>
      <c r="C228" s="48"/>
      <c r="D228" s="48"/>
      <c r="E228" s="48"/>
      <c r="F228" s="48"/>
      <c r="G228" s="48"/>
      <c r="H228" s="48"/>
      <c r="I228" s="48"/>
      <c r="J228" s="48"/>
      <c r="K228" s="48"/>
      <c r="L228" s="48"/>
      <c r="M228" s="48"/>
      <c r="N228" s="48"/>
      <c r="O228" s="48"/>
      <c r="P228" s="48"/>
      <c r="Q228" s="48"/>
      <c r="R228" s="48"/>
      <c r="S228" s="48"/>
      <c r="T228" s="48"/>
      <c r="U228" s="48"/>
      <c r="V228" s="48"/>
    </row>
    <row r="229" spans="2:22" s="46" customFormat="1" ht="15" customHeight="1">
      <c r="B229" s="48"/>
      <c r="C229" s="48"/>
      <c r="D229" s="48"/>
      <c r="E229" s="48"/>
      <c r="F229" s="48"/>
      <c r="G229" s="48"/>
      <c r="H229" s="48"/>
      <c r="I229" s="48"/>
      <c r="J229" s="48"/>
      <c r="K229" s="48"/>
      <c r="L229" s="48"/>
      <c r="M229" s="48"/>
      <c r="N229" s="48"/>
      <c r="O229" s="48"/>
      <c r="P229" s="48"/>
      <c r="Q229" s="48"/>
      <c r="R229" s="48"/>
      <c r="S229" s="48"/>
      <c r="T229" s="48"/>
      <c r="U229" s="48"/>
      <c r="V229" s="48"/>
    </row>
    <row r="230" spans="2:22" s="46" customFormat="1" ht="15" customHeight="1">
      <c r="B230" s="48"/>
      <c r="C230" s="48"/>
      <c r="D230" s="48"/>
      <c r="E230" s="48"/>
      <c r="F230" s="48"/>
      <c r="G230" s="48"/>
      <c r="H230" s="48"/>
      <c r="I230" s="48"/>
      <c r="J230" s="48"/>
      <c r="K230" s="48"/>
      <c r="L230" s="48"/>
      <c r="M230" s="48"/>
      <c r="N230" s="48"/>
      <c r="O230" s="48"/>
      <c r="P230" s="48"/>
      <c r="Q230" s="48"/>
      <c r="R230" s="48"/>
      <c r="S230" s="48"/>
      <c r="T230" s="48"/>
      <c r="U230" s="48"/>
      <c r="V230" s="48"/>
    </row>
    <row r="231" spans="2:22" s="46" customFormat="1" ht="15" customHeight="1">
      <c r="B231" s="48"/>
      <c r="C231" s="48"/>
      <c r="D231" s="48"/>
      <c r="E231" s="48"/>
      <c r="F231" s="48"/>
      <c r="G231" s="48"/>
      <c r="H231" s="48"/>
      <c r="I231" s="48"/>
      <c r="J231" s="48"/>
      <c r="K231" s="48"/>
      <c r="L231" s="48"/>
      <c r="M231" s="48"/>
      <c r="N231" s="48"/>
      <c r="O231" s="48"/>
      <c r="P231" s="48"/>
      <c r="Q231" s="48"/>
      <c r="R231" s="48"/>
      <c r="S231" s="48"/>
      <c r="T231" s="48"/>
      <c r="U231" s="48"/>
      <c r="V231" s="48"/>
    </row>
    <row r="232" spans="2:22" s="46" customFormat="1" ht="15" customHeight="1">
      <c r="B232" s="48"/>
      <c r="C232" s="48"/>
      <c r="D232" s="48"/>
      <c r="E232" s="48"/>
      <c r="F232" s="48"/>
      <c r="G232" s="48"/>
      <c r="H232" s="48"/>
      <c r="I232" s="48"/>
      <c r="J232" s="48"/>
      <c r="K232" s="48"/>
      <c r="L232" s="48"/>
      <c r="M232" s="48"/>
      <c r="N232" s="48"/>
      <c r="O232" s="48"/>
      <c r="P232" s="48"/>
      <c r="Q232" s="48"/>
      <c r="R232" s="48"/>
      <c r="S232" s="48"/>
      <c r="T232" s="48"/>
      <c r="U232" s="48"/>
      <c r="V232" s="48"/>
    </row>
    <row r="233" spans="2:22" s="46" customFormat="1" ht="15" customHeight="1">
      <c r="B233" s="48"/>
      <c r="C233" s="48"/>
      <c r="D233" s="48"/>
      <c r="E233" s="48"/>
      <c r="F233" s="48"/>
      <c r="G233" s="48"/>
      <c r="H233" s="48"/>
      <c r="I233" s="48"/>
      <c r="J233" s="48"/>
      <c r="K233" s="48"/>
      <c r="L233" s="48"/>
      <c r="M233" s="48"/>
      <c r="N233" s="48"/>
      <c r="O233" s="48"/>
      <c r="P233" s="48"/>
      <c r="Q233" s="48"/>
      <c r="R233" s="48"/>
      <c r="S233" s="48"/>
      <c r="T233" s="48"/>
      <c r="U233" s="48"/>
      <c r="V233" s="48"/>
    </row>
    <row r="234" spans="2:22" s="46" customFormat="1" ht="15" customHeight="1">
      <c r="B234" s="48"/>
      <c r="C234" s="48"/>
      <c r="D234" s="48"/>
      <c r="E234" s="48"/>
      <c r="F234" s="48"/>
      <c r="G234" s="48"/>
      <c r="H234" s="48"/>
      <c r="I234" s="48"/>
      <c r="J234" s="48"/>
      <c r="K234" s="48"/>
      <c r="L234" s="48"/>
      <c r="M234" s="48"/>
      <c r="N234" s="48"/>
      <c r="O234" s="48"/>
      <c r="P234" s="48"/>
      <c r="Q234" s="48"/>
      <c r="R234" s="48"/>
      <c r="S234" s="48"/>
      <c r="T234" s="48"/>
      <c r="U234" s="48"/>
      <c r="V234" s="48"/>
    </row>
    <row r="235" spans="2:22" s="46" customFormat="1" ht="15" customHeight="1">
      <c r="B235" s="48"/>
      <c r="C235" s="48"/>
      <c r="D235" s="48"/>
      <c r="E235" s="48"/>
      <c r="F235" s="48"/>
      <c r="G235" s="48"/>
      <c r="H235" s="48"/>
      <c r="I235" s="48"/>
      <c r="J235" s="48"/>
      <c r="K235" s="48"/>
      <c r="L235" s="48"/>
      <c r="M235" s="48"/>
      <c r="N235" s="48"/>
      <c r="O235" s="48"/>
      <c r="P235" s="48"/>
      <c r="Q235" s="48"/>
      <c r="R235" s="48"/>
      <c r="S235" s="48"/>
      <c r="T235" s="48"/>
      <c r="U235" s="48"/>
      <c r="V235" s="48"/>
    </row>
    <row r="236" spans="2:22" s="46" customFormat="1" ht="15" customHeight="1">
      <c r="B236" s="48"/>
      <c r="C236" s="48"/>
      <c r="D236" s="48"/>
      <c r="E236" s="48"/>
      <c r="F236" s="48"/>
      <c r="G236" s="48"/>
      <c r="H236" s="48"/>
      <c r="I236" s="48"/>
      <c r="J236" s="48"/>
      <c r="K236" s="48"/>
      <c r="L236" s="48"/>
      <c r="M236" s="48"/>
      <c r="N236" s="48"/>
      <c r="O236" s="48"/>
      <c r="P236" s="48"/>
      <c r="Q236" s="48"/>
      <c r="R236" s="48"/>
      <c r="S236" s="48"/>
      <c r="T236" s="48"/>
      <c r="U236" s="48"/>
      <c r="V236" s="48"/>
    </row>
    <row r="237" spans="2:22" s="46" customFormat="1" ht="15" customHeight="1">
      <c r="B237" s="48"/>
      <c r="C237" s="48"/>
      <c r="D237" s="48"/>
      <c r="E237" s="48"/>
      <c r="F237" s="48"/>
      <c r="G237" s="48"/>
      <c r="H237" s="48"/>
      <c r="I237" s="48"/>
      <c r="J237" s="48"/>
      <c r="K237" s="48"/>
      <c r="L237" s="48"/>
      <c r="M237" s="48"/>
      <c r="N237" s="48"/>
      <c r="O237" s="48"/>
      <c r="P237" s="48"/>
      <c r="Q237" s="48"/>
      <c r="R237" s="48"/>
      <c r="S237" s="48"/>
      <c r="T237" s="48"/>
      <c r="U237" s="48"/>
      <c r="V237" s="48"/>
    </row>
    <row r="238" spans="2:22" s="46" customFormat="1" ht="15" customHeight="1">
      <c r="B238" s="48"/>
      <c r="C238" s="48"/>
      <c r="D238" s="48"/>
      <c r="E238" s="48"/>
      <c r="F238" s="48"/>
      <c r="G238" s="48"/>
      <c r="H238" s="48"/>
      <c r="I238" s="48"/>
      <c r="J238" s="48"/>
      <c r="K238" s="48"/>
      <c r="L238" s="48"/>
      <c r="M238" s="48"/>
      <c r="N238" s="48"/>
      <c r="O238" s="48"/>
      <c r="P238" s="48"/>
      <c r="Q238" s="48"/>
      <c r="R238" s="48"/>
      <c r="S238" s="48"/>
      <c r="T238" s="48"/>
      <c r="U238" s="48"/>
      <c r="V238" s="48"/>
    </row>
    <row r="239" spans="2:22" s="46" customFormat="1" ht="15" customHeight="1">
      <c r="B239" s="48"/>
      <c r="C239" s="48"/>
      <c r="D239" s="48"/>
      <c r="E239" s="48"/>
      <c r="F239" s="48"/>
      <c r="G239" s="48"/>
      <c r="H239" s="48"/>
      <c r="I239" s="48"/>
      <c r="J239" s="48"/>
      <c r="K239" s="48"/>
      <c r="L239" s="48"/>
      <c r="M239" s="48"/>
      <c r="N239" s="48"/>
      <c r="O239" s="48"/>
      <c r="P239" s="48"/>
      <c r="Q239" s="48"/>
      <c r="R239" s="48"/>
      <c r="S239" s="48"/>
      <c r="T239" s="48"/>
      <c r="U239" s="48"/>
      <c r="V239" s="48"/>
    </row>
    <row r="240" spans="2:22" s="46" customFormat="1" ht="15" customHeight="1">
      <c r="B240" s="48"/>
      <c r="C240" s="48"/>
      <c r="D240" s="48"/>
      <c r="E240" s="48"/>
      <c r="F240" s="48"/>
      <c r="G240" s="48"/>
      <c r="H240" s="48"/>
      <c r="I240" s="48"/>
      <c r="J240" s="48"/>
      <c r="K240" s="48"/>
      <c r="L240" s="48"/>
      <c r="M240" s="48"/>
      <c r="N240" s="48"/>
      <c r="O240" s="48"/>
      <c r="P240" s="48"/>
      <c r="Q240" s="48"/>
      <c r="R240" s="48"/>
      <c r="S240" s="48"/>
      <c r="T240" s="48"/>
      <c r="U240" s="48"/>
      <c r="V240" s="48"/>
    </row>
    <row r="241" spans="2:22" s="46" customFormat="1" ht="15" customHeight="1">
      <c r="B241" s="48"/>
      <c r="C241" s="48"/>
      <c r="D241" s="48"/>
      <c r="E241" s="48"/>
      <c r="F241" s="48"/>
      <c r="G241" s="48"/>
      <c r="H241" s="48"/>
      <c r="I241" s="48"/>
      <c r="J241" s="48"/>
      <c r="K241" s="48"/>
      <c r="L241" s="48"/>
      <c r="M241" s="48"/>
      <c r="N241" s="48"/>
      <c r="O241" s="48"/>
      <c r="P241" s="48"/>
      <c r="Q241" s="48"/>
      <c r="R241" s="48"/>
      <c r="S241" s="48"/>
      <c r="T241" s="48"/>
      <c r="U241" s="48"/>
      <c r="V241" s="48"/>
    </row>
    <row r="242" spans="2:22" s="46" customFormat="1" ht="15" customHeight="1">
      <c r="B242" s="48"/>
      <c r="C242" s="48"/>
      <c r="D242" s="48"/>
      <c r="E242" s="48"/>
      <c r="F242" s="48"/>
      <c r="G242" s="48"/>
      <c r="H242" s="48"/>
      <c r="I242" s="48"/>
      <c r="J242" s="48"/>
      <c r="K242" s="48"/>
      <c r="L242" s="48"/>
      <c r="M242" s="48"/>
      <c r="N242" s="48"/>
      <c r="O242" s="48"/>
      <c r="P242" s="48"/>
      <c r="Q242" s="48"/>
      <c r="R242" s="48"/>
      <c r="S242" s="48"/>
      <c r="T242" s="48"/>
      <c r="U242" s="48"/>
      <c r="V242" s="48"/>
    </row>
    <row r="243" spans="2:22" s="46" customFormat="1" ht="15" customHeight="1">
      <c r="B243" s="48"/>
      <c r="C243" s="48"/>
      <c r="D243" s="48"/>
      <c r="E243" s="48"/>
      <c r="F243" s="48"/>
      <c r="G243" s="48"/>
      <c r="H243" s="48"/>
      <c r="I243" s="48"/>
      <c r="J243" s="48"/>
      <c r="K243" s="48"/>
      <c r="L243" s="48"/>
      <c r="M243" s="48"/>
      <c r="N243" s="48"/>
      <c r="O243" s="48"/>
      <c r="P243" s="48"/>
      <c r="Q243" s="48"/>
      <c r="R243" s="48"/>
      <c r="S243" s="48"/>
      <c r="T243" s="48"/>
      <c r="U243" s="48"/>
      <c r="V243" s="48"/>
    </row>
    <row r="244" spans="2:22" s="46" customFormat="1" ht="15" customHeight="1">
      <c r="B244" s="48"/>
      <c r="C244" s="48"/>
      <c r="D244" s="48"/>
      <c r="E244" s="48"/>
      <c r="F244" s="48"/>
      <c r="G244" s="48"/>
      <c r="H244" s="48"/>
      <c r="I244" s="48"/>
      <c r="J244" s="48"/>
      <c r="K244" s="48"/>
      <c r="L244" s="48"/>
      <c r="M244" s="48"/>
      <c r="N244" s="48"/>
      <c r="O244" s="48"/>
      <c r="P244" s="48"/>
      <c r="Q244" s="48"/>
      <c r="R244" s="48"/>
      <c r="S244" s="48"/>
      <c r="T244" s="48"/>
      <c r="U244" s="48"/>
      <c r="V244" s="48"/>
    </row>
    <row r="245" spans="2:22" s="46" customFormat="1" ht="15" customHeight="1">
      <c r="B245" s="48"/>
      <c r="C245" s="48"/>
      <c r="D245" s="48"/>
      <c r="E245" s="48"/>
      <c r="F245" s="48"/>
      <c r="G245" s="48"/>
      <c r="H245" s="48"/>
      <c r="I245" s="48"/>
      <c r="J245" s="48"/>
      <c r="K245" s="48"/>
      <c r="L245" s="48"/>
      <c r="M245" s="48"/>
      <c r="N245" s="48"/>
      <c r="O245" s="48"/>
      <c r="P245" s="48"/>
      <c r="Q245" s="48"/>
      <c r="R245" s="48"/>
      <c r="S245" s="48"/>
      <c r="T245" s="48"/>
      <c r="U245" s="48"/>
      <c r="V245" s="48"/>
    </row>
    <row r="246" spans="2:22" s="46" customFormat="1" ht="15" customHeight="1">
      <c r="B246" s="48"/>
      <c r="C246" s="48"/>
      <c r="D246" s="48"/>
      <c r="E246" s="48"/>
      <c r="F246" s="48"/>
      <c r="G246" s="48"/>
      <c r="H246" s="48"/>
      <c r="I246" s="48"/>
      <c r="J246" s="48"/>
      <c r="K246" s="48"/>
      <c r="L246" s="48"/>
      <c r="M246" s="48"/>
      <c r="N246" s="48"/>
      <c r="O246" s="48"/>
      <c r="P246" s="48"/>
      <c r="Q246" s="48"/>
      <c r="R246" s="48"/>
      <c r="S246" s="48"/>
      <c r="T246" s="48"/>
      <c r="U246" s="48"/>
      <c r="V246" s="48"/>
    </row>
    <row r="247" spans="2:22" s="46" customFormat="1" ht="15" customHeight="1">
      <c r="B247" s="48"/>
      <c r="C247" s="48"/>
      <c r="D247" s="48"/>
      <c r="E247" s="48"/>
      <c r="F247" s="48"/>
      <c r="G247" s="48"/>
      <c r="H247" s="48"/>
      <c r="I247" s="48"/>
      <c r="J247" s="48"/>
      <c r="K247" s="48"/>
      <c r="L247" s="48"/>
      <c r="M247" s="48"/>
      <c r="N247" s="48"/>
      <c r="O247" s="48"/>
      <c r="P247" s="48"/>
      <c r="Q247" s="48"/>
      <c r="R247" s="48"/>
      <c r="S247" s="48"/>
      <c r="T247" s="48"/>
      <c r="U247" s="48"/>
      <c r="V247" s="48"/>
    </row>
    <row r="248" spans="2:22" s="46" customFormat="1" ht="15" customHeight="1">
      <c r="B248" s="48"/>
      <c r="C248" s="48"/>
      <c r="D248" s="48"/>
      <c r="E248" s="48"/>
      <c r="F248" s="48"/>
      <c r="G248" s="48"/>
      <c r="H248" s="48"/>
      <c r="I248" s="48"/>
      <c r="J248" s="48"/>
      <c r="K248" s="48"/>
      <c r="L248" s="48"/>
      <c r="M248" s="48"/>
      <c r="N248" s="48"/>
      <c r="O248" s="48"/>
      <c r="P248" s="48"/>
      <c r="Q248" s="48"/>
      <c r="R248" s="48"/>
      <c r="S248" s="48"/>
      <c r="T248" s="48"/>
      <c r="U248" s="48"/>
      <c r="V248" s="48"/>
    </row>
    <row r="249" spans="2:22" s="46" customFormat="1" ht="15" customHeight="1">
      <c r="B249" s="48"/>
      <c r="C249" s="48"/>
      <c r="D249" s="48"/>
      <c r="E249" s="48"/>
      <c r="F249" s="48"/>
      <c r="G249" s="48"/>
      <c r="H249" s="48"/>
      <c r="I249" s="48"/>
      <c r="J249" s="48"/>
      <c r="K249" s="48"/>
      <c r="L249" s="48"/>
      <c r="M249" s="48"/>
      <c r="N249" s="48"/>
      <c r="O249" s="48"/>
      <c r="P249" s="48"/>
      <c r="Q249" s="48"/>
      <c r="R249" s="48"/>
      <c r="S249" s="48"/>
      <c r="T249" s="48"/>
      <c r="U249" s="48"/>
      <c r="V249" s="48"/>
    </row>
    <row r="250" spans="2:22" s="46" customFormat="1" ht="15" customHeight="1">
      <c r="B250" s="48"/>
      <c r="C250" s="48"/>
      <c r="D250" s="48"/>
      <c r="E250" s="48"/>
      <c r="F250" s="48"/>
      <c r="G250" s="48"/>
      <c r="H250" s="48"/>
      <c r="I250" s="48"/>
      <c r="J250" s="48"/>
      <c r="K250" s="48"/>
      <c r="L250" s="48"/>
      <c r="M250" s="48"/>
      <c r="N250" s="48"/>
      <c r="O250" s="48"/>
      <c r="P250" s="48"/>
      <c r="Q250" s="48"/>
      <c r="R250" s="48"/>
      <c r="S250" s="48"/>
      <c r="T250" s="48"/>
      <c r="U250" s="48"/>
      <c r="V250" s="48"/>
    </row>
    <row r="251" spans="2:22" s="46" customFormat="1" ht="15" customHeight="1">
      <c r="B251" s="48"/>
      <c r="C251" s="48"/>
      <c r="D251" s="48"/>
      <c r="E251" s="48"/>
      <c r="F251" s="48"/>
      <c r="G251" s="48"/>
      <c r="H251" s="48"/>
      <c r="I251" s="48"/>
      <c r="J251" s="48"/>
      <c r="K251" s="48"/>
      <c r="L251" s="48"/>
      <c r="M251" s="48"/>
      <c r="N251" s="48"/>
      <c r="O251" s="48"/>
      <c r="P251" s="48"/>
      <c r="Q251" s="48"/>
      <c r="R251" s="48"/>
      <c r="S251" s="48"/>
      <c r="T251" s="48"/>
      <c r="U251" s="48"/>
      <c r="V251" s="48"/>
    </row>
    <row r="252" spans="2:22" s="46" customFormat="1" ht="15" customHeight="1">
      <c r="B252" s="48"/>
      <c r="C252" s="48"/>
      <c r="D252" s="48"/>
      <c r="E252" s="48"/>
      <c r="F252" s="48"/>
      <c r="G252" s="48"/>
      <c r="H252" s="48"/>
      <c r="I252" s="48"/>
      <c r="J252" s="48"/>
      <c r="K252" s="48"/>
      <c r="L252" s="48"/>
      <c r="M252" s="48"/>
      <c r="N252" s="48"/>
      <c r="O252" s="48"/>
      <c r="P252" s="48"/>
      <c r="Q252" s="48"/>
      <c r="R252" s="48"/>
      <c r="S252" s="48"/>
      <c r="T252" s="48"/>
      <c r="U252" s="48"/>
      <c r="V252" s="48"/>
    </row>
    <row r="253" spans="2:22" s="46" customFormat="1" ht="15" customHeight="1">
      <c r="B253" s="48"/>
      <c r="C253" s="48"/>
      <c r="D253" s="48"/>
      <c r="E253" s="48"/>
      <c r="F253" s="48"/>
      <c r="G253" s="48"/>
      <c r="H253" s="48"/>
      <c r="I253" s="48"/>
      <c r="J253" s="48"/>
      <c r="K253" s="48"/>
      <c r="L253" s="48"/>
      <c r="M253" s="48"/>
      <c r="N253" s="48"/>
      <c r="O253" s="48"/>
      <c r="P253" s="48"/>
      <c r="Q253" s="48"/>
      <c r="R253" s="48"/>
      <c r="S253" s="48"/>
      <c r="T253" s="48"/>
      <c r="U253" s="48"/>
      <c r="V253" s="48"/>
    </row>
    <row r="254" spans="2:22" s="46" customFormat="1" ht="15" customHeight="1">
      <c r="B254" s="48"/>
      <c r="C254" s="48"/>
      <c r="D254" s="48"/>
      <c r="E254" s="48"/>
      <c r="F254" s="48"/>
      <c r="G254" s="48"/>
      <c r="H254" s="48"/>
      <c r="I254" s="48"/>
      <c r="J254" s="48"/>
      <c r="K254" s="48"/>
      <c r="L254" s="48"/>
      <c r="M254" s="48"/>
      <c r="N254" s="48"/>
      <c r="O254" s="48"/>
      <c r="P254" s="48"/>
      <c r="Q254" s="48"/>
      <c r="R254" s="48"/>
      <c r="S254" s="48"/>
      <c r="T254" s="48"/>
      <c r="U254" s="48"/>
      <c r="V254" s="48"/>
    </row>
    <row r="255" spans="2:22" s="46" customFormat="1" ht="15" customHeight="1">
      <c r="B255" s="48"/>
      <c r="C255" s="48"/>
      <c r="D255" s="48"/>
      <c r="E255" s="48"/>
      <c r="F255" s="48"/>
      <c r="G255" s="48"/>
      <c r="H255" s="48"/>
      <c r="I255" s="48"/>
      <c r="J255" s="48"/>
      <c r="K255" s="48"/>
      <c r="L255" s="48"/>
      <c r="M255" s="48"/>
      <c r="N255" s="48"/>
      <c r="O255" s="48"/>
      <c r="P255" s="48"/>
      <c r="Q255" s="48"/>
      <c r="R255" s="48"/>
      <c r="S255" s="48"/>
      <c r="T255" s="48"/>
      <c r="U255" s="48"/>
      <c r="V255" s="48"/>
    </row>
    <row r="256" spans="2:22" s="46" customFormat="1" ht="15" customHeight="1">
      <c r="B256" s="48"/>
      <c r="C256" s="48"/>
      <c r="D256" s="48"/>
      <c r="E256" s="48"/>
      <c r="F256" s="48"/>
      <c r="G256" s="48"/>
      <c r="H256" s="48"/>
      <c r="I256" s="48"/>
      <c r="J256" s="48"/>
      <c r="K256" s="48"/>
      <c r="L256" s="48"/>
      <c r="M256" s="48"/>
      <c r="N256" s="48"/>
      <c r="O256" s="48"/>
      <c r="P256" s="48"/>
      <c r="Q256" s="48"/>
      <c r="R256" s="48"/>
      <c r="S256" s="48"/>
      <c r="T256" s="48"/>
      <c r="U256" s="48"/>
      <c r="V256" s="48"/>
    </row>
    <row r="257" spans="2:22" s="46" customFormat="1" ht="15" customHeight="1">
      <c r="B257" s="48"/>
      <c r="C257" s="48"/>
      <c r="D257" s="48"/>
      <c r="E257" s="48"/>
      <c r="F257" s="48"/>
      <c r="G257" s="48"/>
      <c r="H257" s="48"/>
      <c r="I257" s="48"/>
      <c r="J257" s="48"/>
      <c r="K257" s="48"/>
      <c r="L257" s="48"/>
      <c r="M257" s="48"/>
      <c r="N257" s="48"/>
      <c r="O257" s="48"/>
      <c r="P257" s="48"/>
      <c r="Q257" s="48"/>
      <c r="R257" s="48"/>
      <c r="S257" s="48"/>
      <c r="T257" s="48"/>
      <c r="U257" s="48"/>
      <c r="V257" s="48"/>
    </row>
    <row r="258" spans="2:22" s="46" customFormat="1" ht="15" customHeight="1">
      <c r="B258" s="48"/>
      <c r="C258" s="48"/>
      <c r="D258" s="48"/>
      <c r="E258" s="48"/>
      <c r="F258" s="48"/>
      <c r="G258" s="48"/>
      <c r="H258" s="48"/>
      <c r="I258" s="48"/>
      <c r="J258" s="48"/>
      <c r="K258" s="48"/>
      <c r="L258" s="48"/>
      <c r="M258" s="48"/>
      <c r="N258" s="48"/>
      <c r="O258" s="48"/>
      <c r="P258" s="48"/>
      <c r="Q258" s="48"/>
      <c r="R258" s="48"/>
      <c r="S258" s="48"/>
      <c r="T258" s="48"/>
      <c r="U258" s="48"/>
      <c r="V258" s="48"/>
    </row>
    <row r="259" spans="2:22" s="46" customFormat="1" ht="15" customHeight="1">
      <c r="B259" s="48"/>
      <c r="C259" s="48"/>
      <c r="D259" s="48"/>
      <c r="E259" s="48"/>
      <c r="F259" s="48"/>
      <c r="G259" s="48"/>
      <c r="H259" s="48"/>
      <c r="I259" s="48"/>
      <c r="J259" s="48"/>
      <c r="K259" s="48"/>
      <c r="L259" s="48"/>
      <c r="M259" s="48"/>
      <c r="N259" s="48"/>
      <c r="O259" s="48"/>
      <c r="P259" s="48"/>
      <c r="Q259" s="48"/>
      <c r="R259" s="48"/>
      <c r="S259" s="48"/>
      <c r="T259" s="48"/>
      <c r="U259" s="48"/>
      <c r="V259" s="48"/>
    </row>
    <row r="260" spans="2:22" s="46" customFormat="1" ht="15" customHeight="1">
      <c r="B260" s="48"/>
      <c r="C260" s="48"/>
      <c r="D260" s="48"/>
      <c r="E260" s="48"/>
      <c r="F260" s="48"/>
      <c r="G260" s="48"/>
      <c r="H260" s="48"/>
      <c r="I260" s="48"/>
      <c r="J260" s="48"/>
      <c r="K260" s="48"/>
      <c r="L260" s="48"/>
      <c r="M260" s="48"/>
      <c r="N260" s="48"/>
      <c r="O260" s="48"/>
      <c r="P260" s="48"/>
      <c r="Q260" s="48"/>
      <c r="R260" s="48"/>
      <c r="S260" s="48"/>
      <c r="T260" s="48"/>
      <c r="U260" s="48"/>
      <c r="V260" s="48"/>
    </row>
    <row r="261" spans="2:22" s="46" customFormat="1" ht="15" customHeight="1">
      <c r="B261" s="48"/>
      <c r="C261" s="48"/>
      <c r="D261" s="48"/>
      <c r="E261" s="48"/>
      <c r="F261" s="48"/>
      <c r="G261" s="48"/>
      <c r="H261" s="48"/>
      <c r="I261" s="48"/>
      <c r="J261" s="48"/>
      <c r="K261" s="48"/>
      <c r="L261" s="48"/>
      <c r="M261" s="48"/>
      <c r="N261" s="48"/>
      <c r="O261" s="48"/>
      <c r="P261" s="48"/>
      <c r="Q261" s="48"/>
      <c r="R261" s="48"/>
      <c r="S261" s="48"/>
      <c r="T261" s="48"/>
      <c r="U261" s="48"/>
      <c r="V261" s="48"/>
    </row>
    <row r="262" spans="2:22" s="46" customFormat="1" ht="15" customHeight="1">
      <c r="B262" s="48"/>
      <c r="C262" s="48"/>
      <c r="D262" s="48"/>
      <c r="E262" s="48"/>
      <c r="F262" s="48"/>
      <c r="G262" s="48"/>
      <c r="H262" s="48"/>
      <c r="I262" s="48"/>
      <c r="J262" s="48"/>
      <c r="K262" s="48"/>
      <c r="L262" s="48"/>
      <c r="M262" s="48"/>
      <c r="N262" s="48"/>
      <c r="O262" s="48"/>
      <c r="P262" s="48"/>
      <c r="Q262" s="48"/>
      <c r="R262" s="48"/>
      <c r="S262" s="48"/>
      <c r="T262" s="48"/>
      <c r="U262" s="48"/>
      <c r="V262" s="48"/>
    </row>
    <row r="263" spans="2:22" s="46" customFormat="1" ht="15" customHeight="1">
      <c r="B263" s="48"/>
      <c r="C263" s="48"/>
      <c r="D263" s="48"/>
      <c r="E263" s="48"/>
      <c r="F263" s="48"/>
      <c r="G263" s="48"/>
      <c r="H263" s="48"/>
      <c r="I263" s="48"/>
      <c r="J263" s="48"/>
      <c r="K263" s="48"/>
      <c r="L263" s="48"/>
      <c r="M263" s="48"/>
      <c r="N263" s="48"/>
      <c r="O263" s="48"/>
      <c r="P263" s="48"/>
      <c r="Q263" s="48"/>
      <c r="R263" s="48"/>
      <c r="S263" s="48"/>
      <c r="T263" s="48"/>
      <c r="U263" s="48"/>
      <c r="V263" s="48"/>
    </row>
    <row r="264" spans="2:22" s="46" customFormat="1" ht="15" customHeight="1">
      <c r="B264" s="48"/>
      <c r="C264" s="48"/>
      <c r="D264" s="48"/>
      <c r="E264" s="48"/>
      <c r="F264" s="48"/>
      <c r="G264" s="48"/>
      <c r="H264" s="48"/>
      <c r="I264" s="48"/>
      <c r="J264" s="48"/>
      <c r="K264" s="48"/>
      <c r="L264" s="48"/>
      <c r="M264" s="48"/>
      <c r="N264" s="48"/>
      <c r="O264" s="48"/>
      <c r="P264" s="48"/>
      <c r="Q264" s="48"/>
      <c r="R264" s="48"/>
      <c r="S264" s="48"/>
      <c r="T264" s="48"/>
      <c r="U264" s="48"/>
      <c r="V264" s="48"/>
    </row>
    <row r="265" spans="2:22" s="46" customFormat="1" ht="15" customHeight="1">
      <c r="B265" s="48"/>
      <c r="C265" s="48"/>
      <c r="D265" s="48"/>
      <c r="E265" s="48"/>
      <c r="F265" s="48"/>
      <c r="G265" s="48"/>
      <c r="H265" s="48"/>
      <c r="I265" s="48"/>
      <c r="J265" s="48"/>
      <c r="K265" s="48"/>
      <c r="L265" s="48"/>
      <c r="M265" s="48"/>
      <c r="N265" s="48"/>
      <c r="O265" s="48"/>
      <c r="P265" s="48"/>
      <c r="Q265" s="48"/>
      <c r="R265" s="48"/>
      <c r="S265" s="48"/>
      <c r="T265" s="48"/>
      <c r="U265" s="48"/>
      <c r="V265" s="48"/>
    </row>
    <row r="266" spans="2:22" s="46" customFormat="1" ht="15" customHeight="1">
      <c r="B266" s="48"/>
      <c r="C266" s="48"/>
      <c r="D266" s="48"/>
      <c r="E266" s="48"/>
      <c r="F266" s="48"/>
      <c r="G266" s="48"/>
      <c r="H266" s="48"/>
      <c r="I266" s="48"/>
      <c r="J266" s="48"/>
      <c r="K266" s="48"/>
      <c r="L266" s="48"/>
      <c r="M266" s="48"/>
      <c r="N266" s="48"/>
      <c r="O266" s="48"/>
      <c r="P266" s="48"/>
      <c r="Q266" s="48"/>
      <c r="R266" s="48"/>
      <c r="S266" s="48"/>
      <c r="T266" s="48"/>
      <c r="U266" s="48"/>
      <c r="V266" s="48"/>
    </row>
    <row r="267" spans="2:22" s="46" customFormat="1" ht="15" customHeight="1">
      <c r="B267" s="48"/>
      <c r="C267" s="48"/>
      <c r="D267" s="48"/>
      <c r="E267" s="48"/>
      <c r="F267" s="48"/>
      <c r="G267" s="48"/>
      <c r="H267" s="48"/>
      <c r="I267" s="48"/>
      <c r="J267" s="48"/>
      <c r="K267" s="48"/>
      <c r="L267" s="48"/>
      <c r="M267" s="48"/>
      <c r="N267" s="48"/>
      <c r="O267" s="48"/>
      <c r="P267" s="48"/>
      <c r="Q267" s="48"/>
      <c r="R267" s="48"/>
      <c r="S267" s="48"/>
      <c r="T267" s="48"/>
      <c r="U267" s="48"/>
      <c r="V267" s="48"/>
    </row>
    <row r="268" spans="2:22" s="46" customFormat="1" ht="15" customHeight="1">
      <c r="B268" s="48"/>
      <c r="C268" s="48"/>
      <c r="D268" s="48"/>
      <c r="E268" s="48"/>
      <c r="F268" s="48"/>
      <c r="G268" s="48"/>
      <c r="H268" s="48"/>
      <c r="I268" s="48"/>
      <c r="J268" s="48"/>
      <c r="K268" s="48"/>
      <c r="L268" s="48"/>
      <c r="M268" s="48"/>
      <c r="N268" s="48"/>
      <c r="O268" s="48"/>
      <c r="P268" s="48"/>
      <c r="Q268" s="48"/>
      <c r="R268" s="48"/>
      <c r="S268" s="48"/>
      <c r="T268" s="48"/>
      <c r="U268" s="48"/>
      <c r="V268" s="48"/>
    </row>
    <row r="269" spans="2:22" s="46" customFormat="1" ht="15" customHeight="1">
      <c r="B269" s="48"/>
      <c r="C269" s="48"/>
      <c r="D269" s="48"/>
      <c r="E269" s="48"/>
      <c r="F269" s="48"/>
      <c r="G269" s="48"/>
      <c r="H269" s="48"/>
      <c r="I269" s="48"/>
      <c r="J269" s="48"/>
      <c r="K269" s="48"/>
      <c r="L269" s="48"/>
      <c r="M269" s="48"/>
      <c r="N269" s="48"/>
      <c r="O269" s="48"/>
      <c r="P269" s="48"/>
      <c r="Q269" s="48"/>
      <c r="R269" s="48"/>
      <c r="S269" s="48"/>
      <c r="T269" s="48"/>
      <c r="U269" s="48"/>
      <c r="V269" s="48"/>
    </row>
    <row r="270" spans="2:22" s="46" customFormat="1" ht="15" customHeight="1">
      <c r="B270" s="48"/>
      <c r="C270" s="48"/>
      <c r="D270" s="48"/>
      <c r="E270" s="48"/>
      <c r="F270" s="48"/>
      <c r="G270" s="48"/>
      <c r="H270" s="48"/>
      <c r="I270" s="48"/>
      <c r="J270" s="48"/>
      <c r="K270" s="48"/>
      <c r="L270" s="48"/>
      <c r="M270" s="48"/>
      <c r="N270" s="48"/>
      <c r="O270" s="48"/>
      <c r="P270" s="48"/>
      <c r="Q270" s="48"/>
      <c r="R270" s="48"/>
      <c r="S270" s="48"/>
      <c r="T270" s="48"/>
      <c r="U270" s="48"/>
      <c r="V270" s="48"/>
    </row>
    <row r="271" spans="2:22" s="46" customFormat="1" ht="15" customHeight="1">
      <c r="B271" s="48"/>
      <c r="C271" s="48"/>
      <c r="D271" s="48"/>
      <c r="E271" s="48"/>
      <c r="F271" s="48"/>
      <c r="G271" s="48"/>
      <c r="H271" s="48"/>
      <c r="I271" s="48"/>
      <c r="J271" s="48"/>
      <c r="K271" s="48"/>
      <c r="L271" s="48"/>
      <c r="M271" s="48"/>
      <c r="N271" s="48"/>
      <c r="O271" s="48"/>
      <c r="P271" s="48"/>
      <c r="Q271" s="48"/>
      <c r="R271" s="48"/>
      <c r="S271" s="48"/>
      <c r="T271" s="48"/>
      <c r="U271" s="48"/>
      <c r="V271" s="48"/>
    </row>
    <row r="272" spans="2:22" s="46" customFormat="1" ht="15" customHeight="1">
      <c r="B272" s="48"/>
      <c r="C272" s="48"/>
      <c r="D272" s="48"/>
      <c r="E272" s="48"/>
      <c r="F272" s="48"/>
      <c r="G272" s="48"/>
      <c r="H272" s="48"/>
      <c r="I272" s="48"/>
      <c r="J272" s="48"/>
      <c r="K272" s="48"/>
      <c r="L272" s="48"/>
      <c r="M272" s="48"/>
      <c r="N272" s="48"/>
      <c r="O272" s="48"/>
      <c r="P272" s="48"/>
      <c r="Q272" s="48"/>
      <c r="R272" s="48"/>
      <c r="S272" s="48"/>
      <c r="T272" s="48"/>
      <c r="U272" s="48"/>
      <c r="V272" s="48"/>
    </row>
    <row r="273" spans="2:22" s="46" customFormat="1" ht="15" customHeight="1">
      <c r="B273" s="48"/>
      <c r="C273" s="48"/>
      <c r="D273" s="48"/>
      <c r="E273" s="48"/>
      <c r="F273" s="48"/>
      <c r="G273" s="48"/>
      <c r="H273" s="48"/>
      <c r="I273" s="48"/>
      <c r="J273" s="48"/>
      <c r="K273" s="48"/>
      <c r="L273" s="48"/>
      <c r="M273" s="48"/>
      <c r="N273" s="48"/>
      <c r="O273" s="48"/>
      <c r="P273" s="48"/>
      <c r="Q273" s="48"/>
      <c r="R273" s="48"/>
      <c r="S273" s="48"/>
      <c r="T273" s="48"/>
      <c r="U273" s="48"/>
      <c r="V273" s="48"/>
    </row>
    <row r="274" spans="2:22" s="46" customFormat="1" ht="15" customHeight="1">
      <c r="B274" s="48"/>
      <c r="C274" s="48"/>
      <c r="D274" s="48"/>
      <c r="E274" s="48"/>
      <c r="F274" s="48"/>
      <c r="G274" s="48"/>
      <c r="H274" s="48"/>
      <c r="I274" s="48"/>
      <c r="J274" s="48"/>
      <c r="K274" s="48"/>
      <c r="L274" s="48"/>
      <c r="M274" s="48"/>
      <c r="N274" s="48"/>
      <c r="O274" s="48"/>
      <c r="P274" s="48"/>
      <c r="Q274" s="48"/>
      <c r="R274" s="48"/>
      <c r="S274" s="48"/>
      <c r="T274" s="48"/>
      <c r="U274" s="48"/>
      <c r="V274" s="48"/>
    </row>
    <row r="275" spans="2:22" s="46" customFormat="1" ht="15" customHeight="1">
      <c r="B275" s="48"/>
      <c r="C275" s="48"/>
      <c r="D275" s="48"/>
      <c r="E275" s="48"/>
      <c r="F275" s="48"/>
      <c r="G275" s="48"/>
      <c r="H275" s="48"/>
      <c r="I275" s="48"/>
      <c r="J275" s="48"/>
      <c r="K275" s="48"/>
      <c r="L275" s="48"/>
      <c r="M275" s="48"/>
      <c r="N275" s="48"/>
      <c r="O275" s="48"/>
      <c r="P275" s="48"/>
      <c r="Q275" s="48"/>
      <c r="R275" s="48"/>
      <c r="S275" s="48"/>
      <c r="T275" s="48"/>
      <c r="U275" s="48"/>
      <c r="V275" s="48"/>
    </row>
    <row r="276" spans="2:22" s="46" customFormat="1" ht="15" customHeight="1">
      <c r="B276" s="48"/>
      <c r="C276" s="48"/>
      <c r="D276" s="48"/>
      <c r="E276" s="48"/>
      <c r="F276" s="48"/>
      <c r="G276" s="48"/>
      <c r="H276" s="48"/>
      <c r="I276" s="48"/>
      <c r="J276" s="48"/>
      <c r="K276" s="48"/>
      <c r="L276" s="48"/>
      <c r="M276" s="48"/>
      <c r="N276" s="48"/>
      <c r="O276" s="48"/>
      <c r="P276" s="48"/>
      <c r="Q276" s="48"/>
      <c r="R276" s="48"/>
      <c r="S276" s="48"/>
      <c r="T276" s="48"/>
      <c r="U276" s="48"/>
      <c r="V276" s="48"/>
    </row>
    <row r="277" spans="2:22" s="46" customFormat="1" ht="15" customHeight="1">
      <c r="B277" s="48"/>
      <c r="C277" s="48"/>
      <c r="D277" s="48"/>
      <c r="E277" s="48"/>
      <c r="F277" s="48"/>
      <c r="G277" s="48"/>
      <c r="H277" s="48"/>
      <c r="I277" s="48"/>
      <c r="J277" s="48"/>
      <c r="K277" s="48"/>
      <c r="L277" s="48"/>
      <c r="M277" s="48"/>
      <c r="N277" s="48"/>
      <c r="O277" s="48"/>
      <c r="P277" s="48"/>
      <c r="Q277" s="48"/>
      <c r="R277" s="48"/>
      <c r="S277" s="48"/>
      <c r="T277" s="48"/>
      <c r="U277" s="48"/>
      <c r="V277" s="48"/>
    </row>
    <row r="278" spans="2:22" s="46" customFormat="1" ht="15" customHeight="1">
      <c r="B278" s="48"/>
      <c r="C278" s="48"/>
      <c r="D278" s="48"/>
      <c r="E278" s="48"/>
      <c r="F278" s="48"/>
      <c r="G278" s="48"/>
      <c r="H278" s="48"/>
      <c r="I278" s="48"/>
      <c r="J278" s="48"/>
      <c r="K278" s="48"/>
      <c r="L278" s="48"/>
      <c r="M278" s="48"/>
      <c r="N278" s="48"/>
      <c r="O278" s="48"/>
      <c r="P278" s="48"/>
      <c r="Q278" s="48"/>
      <c r="R278" s="48"/>
      <c r="S278" s="48"/>
      <c r="T278" s="48"/>
      <c r="U278" s="48"/>
      <c r="V278" s="48"/>
    </row>
    <row r="279" spans="2:22" s="46" customFormat="1" ht="15" customHeight="1">
      <c r="B279" s="48"/>
      <c r="C279" s="48"/>
      <c r="D279" s="48"/>
      <c r="E279" s="48"/>
      <c r="F279" s="48"/>
      <c r="G279" s="48"/>
      <c r="H279" s="48"/>
      <c r="I279" s="48"/>
      <c r="J279" s="48"/>
      <c r="K279" s="48"/>
      <c r="L279" s="48"/>
      <c r="M279" s="48"/>
      <c r="N279" s="48"/>
      <c r="O279" s="48"/>
      <c r="P279" s="48"/>
      <c r="Q279" s="48"/>
      <c r="R279" s="48"/>
      <c r="S279" s="48"/>
      <c r="T279" s="48"/>
      <c r="U279" s="48"/>
      <c r="V279" s="48"/>
    </row>
    <row r="280" spans="2:22" s="46" customFormat="1" ht="15" customHeight="1">
      <c r="B280" s="48"/>
      <c r="C280" s="48"/>
      <c r="D280" s="48"/>
      <c r="E280" s="48"/>
      <c r="F280" s="48"/>
      <c r="G280" s="48"/>
      <c r="H280" s="48"/>
      <c r="I280" s="48"/>
      <c r="J280" s="48"/>
      <c r="K280" s="48"/>
      <c r="L280" s="48"/>
      <c r="M280" s="48"/>
      <c r="N280" s="48"/>
      <c r="O280" s="48"/>
      <c r="P280" s="48"/>
      <c r="Q280" s="48"/>
      <c r="R280" s="48"/>
      <c r="S280" s="48"/>
      <c r="T280" s="48"/>
      <c r="U280" s="48"/>
      <c r="V280" s="48"/>
    </row>
    <row r="281" spans="2:22" s="46" customFormat="1" ht="15" customHeight="1">
      <c r="B281" s="48"/>
      <c r="C281" s="48"/>
      <c r="D281" s="48"/>
      <c r="E281" s="48"/>
      <c r="F281" s="48"/>
      <c r="G281" s="48"/>
      <c r="H281" s="48"/>
      <c r="I281" s="48"/>
      <c r="J281" s="48"/>
      <c r="K281" s="48"/>
      <c r="L281" s="48"/>
      <c r="M281" s="48"/>
      <c r="N281" s="48"/>
      <c r="O281" s="48"/>
      <c r="P281" s="48"/>
      <c r="Q281" s="48"/>
      <c r="R281" s="48"/>
      <c r="S281" s="48"/>
      <c r="T281" s="48"/>
      <c r="U281" s="48"/>
      <c r="V281" s="48"/>
    </row>
    <row r="282" spans="2:22" s="46" customFormat="1" ht="15" customHeight="1">
      <c r="B282" s="48"/>
      <c r="C282" s="48"/>
      <c r="D282" s="48"/>
      <c r="E282" s="48"/>
      <c r="F282" s="48"/>
      <c r="G282" s="48"/>
      <c r="H282" s="48"/>
      <c r="I282" s="48"/>
      <c r="J282" s="48"/>
      <c r="K282" s="48"/>
      <c r="L282" s="48"/>
      <c r="M282" s="48"/>
      <c r="N282" s="48"/>
      <c r="O282" s="48"/>
      <c r="P282" s="48"/>
      <c r="Q282" s="48"/>
      <c r="R282" s="48"/>
      <c r="S282" s="48"/>
      <c r="T282" s="48"/>
      <c r="U282" s="48"/>
      <c r="V282" s="48"/>
    </row>
    <row r="283" spans="2:22" s="46" customFormat="1" ht="15" customHeight="1">
      <c r="B283" s="48"/>
      <c r="C283" s="48"/>
      <c r="D283" s="48"/>
      <c r="E283" s="48"/>
      <c r="F283" s="48"/>
      <c r="G283" s="48"/>
      <c r="H283" s="48"/>
      <c r="I283" s="48"/>
      <c r="J283" s="48"/>
      <c r="K283" s="48"/>
      <c r="L283" s="48"/>
      <c r="M283" s="48"/>
      <c r="N283" s="48"/>
      <c r="O283" s="48"/>
      <c r="P283" s="48"/>
      <c r="Q283" s="48"/>
      <c r="R283" s="48"/>
      <c r="S283" s="48"/>
      <c r="T283" s="48"/>
      <c r="U283" s="48"/>
      <c r="V283" s="48"/>
    </row>
    <row r="284" spans="2:22" s="46" customFormat="1" ht="15" customHeight="1">
      <c r="B284" s="48"/>
      <c r="C284" s="48"/>
      <c r="D284" s="48"/>
      <c r="E284" s="48"/>
      <c r="F284" s="48"/>
      <c r="G284" s="48"/>
      <c r="H284" s="48"/>
      <c r="I284" s="48"/>
      <c r="J284" s="48"/>
      <c r="K284" s="48"/>
      <c r="L284" s="48"/>
      <c r="M284" s="48"/>
      <c r="N284" s="48"/>
      <c r="O284" s="48"/>
      <c r="P284" s="48"/>
      <c r="Q284" s="48"/>
      <c r="R284" s="48"/>
      <c r="S284" s="48"/>
      <c r="T284" s="48"/>
      <c r="U284" s="48"/>
      <c r="V284" s="48"/>
    </row>
    <row r="285" spans="2:22" s="46" customFormat="1" ht="15" customHeight="1">
      <c r="B285" s="48"/>
      <c r="C285" s="48"/>
      <c r="D285" s="48"/>
      <c r="E285" s="48"/>
      <c r="F285" s="48"/>
      <c r="G285" s="48"/>
      <c r="H285" s="48"/>
      <c r="I285" s="48"/>
      <c r="J285" s="48"/>
      <c r="K285" s="48"/>
      <c r="L285" s="48"/>
      <c r="M285" s="48"/>
      <c r="N285" s="48"/>
      <c r="O285" s="48"/>
      <c r="P285" s="48"/>
      <c r="Q285" s="48"/>
      <c r="R285" s="48"/>
      <c r="S285" s="48"/>
      <c r="T285" s="48"/>
      <c r="U285" s="48"/>
      <c r="V285" s="48"/>
    </row>
    <row r="286" spans="2:22" s="46" customFormat="1" ht="15" customHeight="1">
      <c r="B286" s="48"/>
      <c r="C286" s="48"/>
      <c r="D286" s="48"/>
      <c r="E286" s="48"/>
      <c r="F286" s="48"/>
      <c r="G286" s="48"/>
      <c r="H286" s="48"/>
      <c r="I286" s="48"/>
      <c r="J286" s="48"/>
      <c r="K286" s="48"/>
      <c r="L286" s="48"/>
      <c r="M286" s="48"/>
      <c r="N286" s="48"/>
      <c r="O286" s="48"/>
      <c r="P286" s="48"/>
      <c r="Q286" s="48"/>
      <c r="R286" s="48"/>
      <c r="S286" s="48"/>
      <c r="T286" s="48"/>
      <c r="U286" s="48"/>
      <c r="V286" s="48"/>
    </row>
    <row r="287" spans="2:22" s="46" customFormat="1" ht="15" customHeight="1">
      <c r="B287" s="48"/>
      <c r="C287" s="48"/>
      <c r="D287" s="48"/>
      <c r="E287" s="48"/>
      <c r="F287" s="48"/>
      <c r="G287" s="48"/>
      <c r="H287" s="48"/>
      <c r="I287" s="48"/>
      <c r="J287" s="48"/>
      <c r="K287" s="48"/>
      <c r="L287" s="48"/>
      <c r="M287" s="48"/>
      <c r="N287" s="48"/>
      <c r="O287" s="48"/>
      <c r="P287" s="48"/>
      <c r="Q287" s="48"/>
      <c r="R287" s="48"/>
      <c r="S287" s="48"/>
      <c r="T287" s="48"/>
      <c r="U287" s="48"/>
      <c r="V287" s="48"/>
    </row>
    <row r="288" spans="2:22" s="46" customFormat="1" ht="15" customHeight="1">
      <c r="B288" s="48"/>
      <c r="C288" s="48"/>
      <c r="D288" s="48"/>
      <c r="E288" s="48"/>
      <c r="F288" s="48"/>
      <c r="G288" s="48"/>
      <c r="H288" s="48"/>
      <c r="I288" s="48"/>
      <c r="J288" s="48"/>
      <c r="K288" s="48"/>
      <c r="L288" s="48"/>
      <c r="M288" s="48"/>
      <c r="N288" s="48"/>
      <c r="O288" s="48"/>
      <c r="P288" s="48"/>
      <c r="Q288" s="48"/>
      <c r="R288" s="48"/>
      <c r="S288" s="48"/>
      <c r="T288" s="48"/>
      <c r="U288" s="48"/>
      <c r="V288" s="48"/>
    </row>
    <row r="289" spans="2:22" s="46" customFormat="1" ht="15" customHeight="1">
      <c r="B289" s="48"/>
      <c r="C289" s="48"/>
      <c r="D289" s="48"/>
      <c r="E289" s="48"/>
      <c r="F289" s="48"/>
      <c r="G289" s="48"/>
      <c r="H289" s="48"/>
      <c r="I289" s="48"/>
      <c r="J289" s="48"/>
      <c r="K289" s="48"/>
      <c r="L289" s="48"/>
      <c r="M289" s="48"/>
      <c r="N289" s="48"/>
      <c r="O289" s="48"/>
      <c r="P289" s="48"/>
      <c r="Q289" s="48"/>
      <c r="R289" s="48"/>
      <c r="S289" s="48"/>
      <c r="T289" s="48"/>
      <c r="U289" s="48"/>
      <c r="V289" s="48"/>
    </row>
    <row r="290" spans="2:22" s="46" customFormat="1" ht="15" customHeight="1">
      <c r="B290" s="48"/>
      <c r="C290" s="48"/>
      <c r="D290" s="48"/>
      <c r="E290" s="48"/>
      <c r="F290" s="48"/>
      <c r="G290" s="48"/>
      <c r="H290" s="48"/>
      <c r="I290" s="48"/>
      <c r="J290" s="48"/>
      <c r="K290" s="48"/>
      <c r="L290" s="48"/>
      <c r="M290" s="48"/>
      <c r="N290" s="48"/>
      <c r="O290" s="48"/>
      <c r="P290" s="48"/>
      <c r="Q290" s="48"/>
      <c r="R290" s="48"/>
      <c r="S290" s="48"/>
      <c r="T290" s="48"/>
      <c r="U290" s="48"/>
      <c r="V290" s="48"/>
    </row>
    <row r="291" spans="2:22" s="46" customFormat="1" ht="15" customHeight="1">
      <c r="B291" s="48"/>
      <c r="C291" s="48"/>
      <c r="D291" s="48"/>
      <c r="E291" s="48"/>
      <c r="F291" s="48"/>
      <c r="G291" s="48"/>
      <c r="H291" s="48"/>
      <c r="I291" s="48"/>
      <c r="J291" s="48"/>
      <c r="K291" s="48"/>
      <c r="L291" s="48"/>
      <c r="M291" s="48"/>
      <c r="N291" s="48"/>
      <c r="O291" s="48"/>
      <c r="P291" s="48"/>
      <c r="Q291" s="48"/>
      <c r="R291" s="48"/>
      <c r="S291" s="48"/>
      <c r="T291" s="48"/>
      <c r="U291" s="48"/>
      <c r="V291" s="48"/>
    </row>
    <row r="292" spans="2:22" s="46" customFormat="1" ht="15" customHeight="1">
      <c r="B292" s="48"/>
      <c r="C292" s="48"/>
      <c r="D292" s="48"/>
      <c r="E292" s="48"/>
      <c r="F292" s="48"/>
      <c r="G292" s="48"/>
      <c r="H292" s="48"/>
      <c r="I292" s="48"/>
      <c r="J292" s="48"/>
      <c r="K292" s="48"/>
      <c r="L292" s="48"/>
      <c r="M292" s="48"/>
      <c r="N292" s="48"/>
      <c r="O292" s="48"/>
      <c r="P292" s="48"/>
      <c r="Q292" s="48"/>
      <c r="R292" s="48"/>
      <c r="S292" s="48"/>
      <c r="T292" s="48"/>
      <c r="U292" s="48"/>
      <c r="V292" s="48"/>
    </row>
    <row r="293" spans="2:22" s="46" customFormat="1" ht="15" customHeight="1">
      <c r="B293" s="48"/>
      <c r="C293" s="48"/>
      <c r="D293" s="48"/>
      <c r="E293" s="48"/>
      <c r="F293" s="48"/>
      <c r="G293" s="48"/>
      <c r="H293" s="48"/>
      <c r="I293" s="48"/>
      <c r="J293" s="48"/>
      <c r="K293" s="48"/>
      <c r="L293" s="48"/>
      <c r="M293" s="48"/>
      <c r="N293" s="48"/>
      <c r="O293" s="48"/>
      <c r="P293" s="48"/>
      <c r="Q293" s="48"/>
      <c r="R293" s="48"/>
      <c r="S293" s="48"/>
      <c r="T293" s="48"/>
      <c r="U293" s="48"/>
      <c r="V293" s="48"/>
    </row>
    <row r="294" spans="2:22" s="46" customFormat="1" ht="15" customHeight="1">
      <c r="B294" s="48"/>
      <c r="C294" s="48"/>
      <c r="D294" s="48"/>
      <c r="E294" s="48"/>
      <c r="F294" s="48"/>
      <c r="G294" s="48"/>
      <c r="H294" s="48"/>
      <c r="I294" s="48"/>
      <c r="J294" s="48"/>
      <c r="K294" s="48"/>
      <c r="L294" s="48"/>
      <c r="M294" s="48"/>
      <c r="N294" s="48"/>
      <c r="O294" s="48"/>
      <c r="P294" s="48"/>
      <c r="Q294" s="48"/>
      <c r="R294" s="48"/>
      <c r="S294" s="48"/>
      <c r="T294" s="48"/>
      <c r="U294" s="48"/>
      <c r="V294" s="48"/>
    </row>
    <row r="295" spans="2:22" s="46" customFormat="1" ht="15" customHeight="1">
      <c r="B295" s="48"/>
      <c r="C295" s="48"/>
      <c r="D295" s="48"/>
      <c r="E295" s="48"/>
      <c r="F295" s="48"/>
      <c r="G295" s="48"/>
      <c r="H295" s="48"/>
      <c r="I295" s="48"/>
      <c r="J295" s="48"/>
      <c r="K295" s="48"/>
      <c r="L295" s="48"/>
      <c r="M295" s="48"/>
      <c r="N295" s="48"/>
      <c r="O295" s="48"/>
      <c r="P295" s="48"/>
      <c r="Q295" s="48"/>
      <c r="R295" s="48"/>
      <c r="S295" s="48"/>
      <c r="T295" s="48"/>
      <c r="U295" s="48"/>
      <c r="V295" s="48"/>
    </row>
    <row r="296" spans="2:22" s="46" customFormat="1" ht="15" customHeight="1">
      <c r="B296" s="48"/>
      <c r="C296" s="48"/>
      <c r="D296" s="48"/>
      <c r="E296" s="48"/>
      <c r="F296" s="48"/>
      <c r="G296" s="48"/>
      <c r="H296" s="48"/>
      <c r="I296" s="48"/>
      <c r="J296" s="48"/>
      <c r="K296" s="48"/>
      <c r="L296" s="48"/>
      <c r="M296" s="48"/>
      <c r="N296" s="48"/>
      <c r="O296" s="48"/>
      <c r="P296" s="48"/>
      <c r="Q296" s="48"/>
      <c r="R296" s="48"/>
      <c r="S296" s="48"/>
      <c r="T296" s="48"/>
      <c r="U296" s="48"/>
      <c r="V296" s="48"/>
    </row>
    <row r="297" spans="2:22" s="46" customFormat="1" ht="15" customHeight="1">
      <c r="B297" s="48"/>
      <c r="C297" s="48"/>
      <c r="D297" s="48"/>
      <c r="E297" s="48"/>
      <c r="F297" s="48"/>
      <c r="G297" s="48"/>
      <c r="H297" s="48"/>
      <c r="I297" s="48"/>
      <c r="J297" s="48"/>
      <c r="K297" s="48"/>
      <c r="L297" s="48"/>
      <c r="M297" s="48"/>
      <c r="N297" s="48"/>
      <c r="O297" s="48"/>
      <c r="P297" s="48"/>
      <c r="Q297" s="48"/>
      <c r="R297" s="48"/>
      <c r="S297" s="48"/>
      <c r="T297" s="48"/>
      <c r="U297" s="48"/>
      <c r="V297" s="48"/>
    </row>
    <row r="298" spans="2:22" s="46" customFormat="1" ht="15" customHeight="1">
      <c r="B298" s="48"/>
      <c r="C298" s="48"/>
      <c r="D298" s="48"/>
      <c r="E298" s="48"/>
      <c r="F298" s="48"/>
      <c r="G298" s="48"/>
      <c r="H298" s="48"/>
      <c r="I298" s="48"/>
      <c r="J298" s="48"/>
      <c r="K298" s="48"/>
      <c r="L298" s="48"/>
      <c r="M298" s="48"/>
      <c r="N298" s="48"/>
      <c r="O298" s="48"/>
      <c r="P298" s="48"/>
      <c r="Q298" s="48"/>
      <c r="R298" s="48"/>
      <c r="S298" s="48"/>
      <c r="T298" s="48"/>
      <c r="U298" s="48"/>
      <c r="V298" s="48"/>
    </row>
    <row r="299" spans="2:22" s="46" customFormat="1" ht="15" customHeight="1">
      <c r="B299" s="48"/>
      <c r="C299" s="48"/>
      <c r="D299" s="48"/>
      <c r="E299" s="48"/>
      <c r="F299" s="48"/>
      <c r="G299" s="48"/>
      <c r="H299" s="48"/>
      <c r="I299" s="48"/>
      <c r="J299" s="48"/>
      <c r="K299" s="48"/>
      <c r="L299" s="48"/>
      <c r="M299" s="48"/>
      <c r="N299" s="48"/>
      <c r="O299" s="48"/>
      <c r="P299" s="48"/>
      <c r="Q299" s="48"/>
      <c r="R299" s="48"/>
      <c r="S299" s="48"/>
      <c r="T299" s="48"/>
      <c r="U299" s="48"/>
      <c r="V299" s="48"/>
    </row>
    <row r="300" spans="2:22" s="46" customFormat="1" ht="15" customHeight="1">
      <c r="B300" s="48"/>
      <c r="C300" s="48"/>
      <c r="D300" s="48"/>
      <c r="E300" s="48"/>
      <c r="F300" s="48"/>
      <c r="G300" s="48"/>
      <c r="H300" s="48"/>
      <c r="I300" s="48"/>
      <c r="J300" s="48"/>
      <c r="K300" s="48"/>
      <c r="L300" s="48"/>
      <c r="M300" s="48"/>
      <c r="N300" s="48"/>
      <c r="O300" s="48"/>
      <c r="P300" s="48"/>
      <c r="Q300" s="48"/>
      <c r="R300" s="48"/>
      <c r="S300" s="48"/>
      <c r="T300" s="48"/>
      <c r="U300" s="48"/>
      <c r="V300" s="48"/>
    </row>
    <row r="301" spans="2:22" s="46" customFormat="1" ht="15" customHeight="1">
      <c r="B301" s="48"/>
      <c r="C301" s="48"/>
      <c r="D301" s="48"/>
      <c r="E301" s="48"/>
      <c r="F301" s="48"/>
      <c r="G301" s="48"/>
      <c r="H301" s="48"/>
      <c r="I301" s="48"/>
      <c r="J301" s="48"/>
      <c r="K301" s="48"/>
      <c r="L301" s="48"/>
      <c r="M301" s="48"/>
      <c r="N301" s="48"/>
      <c r="O301" s="48"/>
      <c r="P301" s="48"/>
      <c r="Q301" s="48"/>
      <c r="R301" s="48"/>
      <c r="S301" s="48"/>
      <c r="T301" s="48"/>
      <c r="U301" s="48"/>
      <c r="V301" s="48"/>
    </row>
    <row r="302" spans="2:22" s="46" customFormat="1" ht="15" customHeight="1">
      <c r="B302" s="48"/>
      <c r="C302" s="48"/>
      <c r="D302" s="48"/>
      <c r="E302" s="48"/>
      <c r="F302" s="48"/>
      <c r="G302" s="48"/>
      <c r="H302" s="48"/>
      <c r="I302" s="48"/>
      <c r="J302" s="48"/>
      <c r="K302" s="48"/>
      <c r="L302" s="48"/>
      <c r="M302" s="48"/>
      <c r="N302" s="48"/>
      <c r="O302" s="48"/>
      <c r="P302" s="48"/>
      <c r="Q302" s="48"/>
      <c r="R302" s="48"/>
      <c r="S302" s="48"/>
      <c r="T302" s="48"/>
      <c r="U302" s="48"/>
      <c r="V302" s="48"/>
    </row>
    <row r="303" spans="2:22" s="46" customFormat="1" ht="15" customHeight="1">
      <c r="B303" s="48"/>
      <c r="C303" s="48"/>
      <c r="D303" s="48"/>
      <c r="E303" s="48"/>
      <c r="F303" s="48"/>
      <c r="G303" s="48"/>
      <c r="H303" s="48"/>
      <c r="I303" s="48"/>
      <c r="J303" s="48"/>
      <c r="K303" s="48"/>
      <c r="L303" s="48"/>
      <c r="M303" s="48"/>
      <c r="N303" s="48"/>
      <c r="O303" s="48"/>
      <c r="P303" s="48"/>
      <c r="Q303" s="48"/>
      <c r="R303" s="48"/>
      <c r="S303" s="48"/>
      <c r="T303" s="48"/>
      <c r="U303" s="48"/>
      <c r="V303" s="48"/>
    </row>
    <row r="304" spans="2:22" s="46" customFormat="1" ht="15" customHeight="1">
      <c r="B304" s="48"/>
      <c r="C304" s="48"/>
      <c r="D304" s="48"/>
      <c r="E304" s="48"/>
      <c r="F304" s="48"/>
      <c r="G304" s="48"/>
      <c r="H304" s="48"/>
      <c r="I304" s="48"/>
      <c r="J304" s="48"/>
      <c r="K304" s="48"/>
      <c r="L304" s="48"/>
      <c r="M304" s="48"/>
      <c r="N304" s="48"/>
      <c r="O304" s="48"/>
      <c r="P304" s="48"/>
      <c r="Q304" s="48"/>
      <c r="R304" s="48"/>
      <c r="S304" s="48"/>
      <c r="T304" s="48"/>
      <c r="U304" s="48"/>
      <c r="V304" s="48"/>
    </row>
    <row r="305" spans="2:22" s="46" customFormat="1" ht="15" customHeight="1">
      <c r="B305" s="48"/>
      <c r="C305" s="48"/>
      <c r="D305" s="48"/>
      <c r="E305" s="48"/>
      <c r="F305" s="48"/>
      <c r="G305" s="48"/>
      <c r="H305" s="48"/>
      <c r="I305" s="48"/>
      <c r="J305" s="48"/>
      <c r="K305" s="48"/>
      <c r="L305" s="48"/>
      <c r="M305" s="48"/>
      <c r="N305" s="48"/>
      <c r="O305" s="48"/>
      <c r="P305" s="48"/>
      <c r="Q305" s="48"/>
      <c r="R305" s="48"/>
      <c r="S305" s="48"/>
      <c r="T305" s="48"/>
      <c r="U305" s="48"/>
      <c r="V305" s="48"/>
    </row>
    <row r="306" spans="2:22" s="46" customFormat="1" ht="15" customHeight="1">
      <c r="B306" s="48"/>
      <c r="C306" s="48"/>
      <c r="D306" s="48"/>
      <c r="E306" s="48"/>
      <c r="F306" s="48"/>
      <c r="G306" s="48"/>
      <c r="H306" s="48"/>
      <c r="I306" s="48"/>
      <c r="J306" s="48"/>
      <c r="K306" s="48"/>
      <c r="L306" s="48"/>
      <c r="M306" s="48"/>
      <c r="N306" s="48"/>
      <c r="O306" s="48"/>
      <c r="P306" s="48"/>
      <c r="Q306" s="48"/>
      <c r="R306" s="48"/>
      <c r="S306" s="48"/>
      <c r="T306" s="48"/>
      <c r="U306" s="48"/>
      <c r="V306" s="48"/>
    </row>
    <row r="307" spans="2:22" s="46" customFormat="1" ht="15" customHeight="1">
      <c r="B307" s="48"/>
      <c r="C307" s="48"/>
      <c r="D307" s="48"/>
      <c r="E307" s="48"/>
      <c r="F307" s="48"/>
      <c r="G307" s="48"/>
      <c r="H307" s="48"/>
      <c r="I307" s="48"/>
      <c r="J307" s="48"/>
      <c r="K307" s="48"/>
      <c r="L307" s="48"/>
      <c r="M307" s="48"/>
      <c r="N307" s="48"/>
      <c r="O307" s="48"/>
      <c r="P307" s="48"/>
      <c r="Q307" s="48"/>
      <c r="R307" s="48"/>
      <c r="S307" s="48"/>
      <c r="T307" s="48"/>
      <c r="U307" s="48"/>
      <c r="V307" s="48"/>
    </row>
    <row r="308" spans="2:22" s="46" customFormat="1" ht="15" customHeight="1">
      <c r="B308" s="48"/>
      <c r="C308" s="48"/>
      <c r="D308" s="48"/>
      <c r="E308" s="48"/>
      <c r="F308" s="48"/>
      <c r="G308" s="48"/>
      <c r="H308" s="48"/>
      <c r="I308" s="48"/>
      <c r="J308" s="48"/>
      <c r="K308" s="48"/>
      <c r="L308" s="48"/>
      <c r="M308" s="48"/>
      <c r="N308" s="48"/>
      <c r="O308" s="48"/>
      <c r="P308" s="48"/>
      <c r="Q308" s="48"/>
      <c r="R308" s="48"/>
      <c r="S308" s="48"/>
      <c r="T308" s="48"/>
      <c r="U308" s="48"/>
      <c r="V308" s="48"/>
    </row>
    <row r="309" spans="2:22" s="46" customFormat="1" ht="15" customHeight="1">
      <c r="B309" s="48"/>
      <c r="C309" s="48"/>
      <c r="D309" s="48"/>
      <c r="E309" s="48"/>
      <c r="F309" s="48"/>
      <c r="G309" s="48"/>
      <c r="H309" s="48"/>
      <c r="I309" s="48"/>
      <c r="J309" s="48"/>
      <c r="K309" s="48"/>
      <c r="L309" s="48"/>
      <c r="M309" s="48"/>
      <c r="N309" s="48"/>
      <c r="O309" s="48"/>
      <c r="P309" s="48"/>
      <c r="Q309" s="48"/>
      <c r="R309" s="48"/>
      <c r="S309" s="48"/>
      <c r="T309" s="48"/>
      <c r="U309" s="48"/>
      <c r="V309" s="48"/>
    </row>
    <row r="310" spans="2:22" s="46" customFormat="1" ht="15" customHeight="1">
      <c r="B310" s="48"/>
      <c r="C310" s="48"/>
      <c r="D310" s="48"/>
      <c r="E310" s="48"/>
      <c r="F310" s="48"/>
      <c r="G310" s="48"/>
      <c r="H310" s="48"/>
      <c r="I310" s="48"/>
      <c r="J310" s="48"/>
      <c r="K310" s="48"/>
      <c r="L310" s="48"/>
      <c r="M310" s="48"/>
      <c r="N310" s="48"/>
      <c r="O310" s="48"/>
      <c r="P310" s="48"/>
      <c r="Q310" s="48"/>
      <c r="R310" s="48"/>
      <c r="S310" s="48"/>
      <c r="T310" s="48"/>
      <c r="U310" s="48"/>
      <c r="V310" s="48"/>
    </row>
    <row r="311" spans="2:22" s="46" customFormat="1" ht="15" customHeight="1">
      <c r="B311" s="48"/>
      <c r="C311" s="48"/>
      <c r="D311" s="48"/>
      <c r="E311" s="48"/>
      <c r="F311" s="48"/>
      <c r="G311" s="48"/>
      <c r="H311" s="48"/>
      <c r="I311" s="48"/>
      <c r="J311" s="48"/>
      <c r="K311" s="48"/>
      <c r="L311" s="48"/>
      <c r="M311" s="48"/>
      <c r="N311" s="48"/>
      <c r="O311" s="48"/>
      <c r="P311" s="48"/>
      <c r="Q311" s="48"/>
      <c r="R311" s="48"/>
      <c r="S311" s="48"/>
      <c r="T311" s="48"/>
      <c r="U311" s="48"/>
      <c r="V311" s="48"/>
    </row>
    <row r="312" spans="2:22" s="46" customFormat="1" ht="15" customHeight="1">
      <c r="B312" s="48"/>
      <c r="C312" s="48"/>
      <c r="D312" s="48"/>
      <c r="E312" s="48"/>
      <c r="F312" s="48"/>
      <c r="G312" s="48"/>
      <c r="H312" s="48"/>
      <c r="I312" s="48"/>
      <c r="J312" s="48"/>
      <c r="K312" s="48"/>
      <c r="L312" s="48"/>
      <c r="M312" s="48"/>
      <c r="N312" s="48"/>
      <c r="O312" s="48"/>
      <c r="P312" s="48"/>
      <c r="Q312" s="48"/>
      <c r="R312" s="48"/>
      <c r="S312" s="48"/>
      <c r="T312" s="48"/>
      <c r="U312" s="48"/>
      <c r="V312" s="48"/>
    </row>
    <row r="313" spans="2:22" s="46" customFormat="1" ht="15" customHeight="1">
      <c r="B313" s="48"/>
      <c r="C313" s="48"/>
      <c r="D313" s="48"/>
      <c r="E313" s="48"/>
      <c r="F313" s="48"/>
      <c r="G313" s="48"/>
      <c r="H313" s="48"/>
      <c r="I313" s="48"/>
      <c r="J313" s="48"/>
      <c r="K313" s="48"/>
      <c r="L313" s="48"/>
      <c r="M313" s="48"/>
      <c r="N313" s="48"/>
      <c r="O313" s="48"/>
      <c r="P313" s="48"/>
      <c r="Q313" s="48"/>
      <c r="R313" s="48"/>
      <c r="S313" s="48"/>
      <c r="T313" s="48"/>
      <c r="U313" s="48"/>
      <c r="V313" s="48"/>
    </row>
    <row r="314" spans="2:22" s="46" customFormat="1" ht="15" customHeight="1">
      <c r="B314" s="48"/>
      <c r="C314" s="48"/>
      <c r="D314" s="48"/>
      <c r="E314" s="48"/>
      <c r="F314" s="48"/>
      <c r="G314" s="48"/>
      <c r="H314" s="48"/>
      <c r="I314" s="48"/>
      <c r="J314" s="48"/>
      <c r="K314" s="48"/>
      <c r="L314" s="48"/>
      <c r="M314" s="48"/>
      <c r="N314" s="48"/>
      <c r="O314" s="48"/>
      <c r="P314" s="48"/>
      <c r="Q314" s="48"/>
      <c r="R314" s="48"/>
      <c r="S314" s="48"/>
      <c r="T314" s="48"/>
      <c r="U314" s="48"/>
      <c r="V314" s="48"/>
    </row>
    <row r="315" spans="2:22" s="46" customFormat="1" ht="15" customHeight="1">
      <c r="B315" s="48"/>
      <c r="C315" s="48"/>
      <c r="D315" s="48"/>
      <c r="E315" s="48"/>
      <c r="F315" s="48"/>
      <c r="G315" s="48"/>
      <c r="H315" s="48"/>
      <c r="I315" s="48"/>
      <c r="J315" s="48"/>
      <c r="K315" s="48"/>
      <c r="L315" s="48"/>
      <c r="M315" s="48"/>
      <c r="N315" s="48"/>
      <c r="O315" s="48"/>
      <c r="P315" s="48"/>
      <c r="Q315" s="48"/>
      <c r="R315" s="48"/>
      <c r="S315" s="48"/>
      <c r="T315" s="48"/>
      <c r="U315" s="48"/>
      <c r="V315" s="48"/>
    </row>
    <row r="316" spans="2:22" s="46" customFormat="1" ht="15" customHeight="1">
      <c r="B316" s="48"/>
      <c r="C316" s="48"/>
      <c r="D316" s="48"/>
      <c r="E316" s="48"/>
      <c r="F316" s="48"/>
      <c r="G316" s="48"/>
      <c r="H316" s="48"/>
      <c r="I316" s="48"/>
      <c r="J316" s="48"/>
      <c r="K316" s="48"/>
      <c r="L316" s="48"/>
      <c r="M316" s="48"/>
      <c r="N316" s="48"/>
      <c r="O316" s="48"/>
      <c r="P316" s="48"/>
      <c r="Q316" s="48"/>
      <c r="R316" s="48"/>
      <c r="S316" s="48"/>
      <c r="T316" s="48"/>
      <c r="U316" s="48"/>
      <c r="V316" s="48"/>
    </row>
    <row r="317" spans="2:22" s="46" customFormat="1" ht="15" customHeight="1">
      <c r="B317" s="48"/>
      <c r="C317" s="48"/>
      <c r="D317" s="48"/>
      <c r="E317" s="48"/>
      <c r="F317" s="48"/>
      <c r="G317" s="48"/>
      <c r="H317" s="48"/>
      <c r="I317" s="48"/>
      <c r="J317" s="48"/>
      <c r="K317" s="48"/>
      <c r="L317" s="48"/>
      <c r="M317" s="48"/>
      <c r="N317" s="48"/>
      <c r="O317" s="48"/>
      <c r="P317" s="48"/>
      <c r="Q317" s="48"/>
      <c r="R317" s="48"/>
      <c r="S317" s="48"/>
      <c r="T317" s="48"/>
      <c r="U317" s="48"/>
      <c r="V317" s="48"/>
    </row>
    <row r="318" spans="2:22" s="46" customFormat="1" ht="15" customHeight="1">
      <c r="B318" s="48"/>
      <c r="C318" s="48"/>
      <c r="D318" s="48"/>
      <c r="E318" s="48"/>
      <c r="F318" s="48"/>
      <c r="G318" s="48"/>
      <c r="H318" s="48"/>
      <c r="I318" s="48"/>
      <c r="J318" s="48"/>
      <c r="K318" s="48"/>
      <c r="L318" s="48"/>
      <c r="M318" s="48"/>
      <c r="N318" s="48"/>
      <c r="O318" s="48"/>
      <c r="P318" s="48"/>
      <c r="Q318" s="48"/>
      <c r="R318" s="48"/>
      <c r="S318" s="48"/>
      <c r="T318" s="48"/>
      <c r="U318" s="48"/>
      <c r="V318" s="48"/>
    </row>
    <row r="319" spans="2:22" s="46" customFormat="1" ht="15" customHeight="1">
      <c r="B319" s="48"/>
      <c r="C319" s="48"/>
      <c r="D319" s="48"/>
      <c r="E319" s="48"/>
      <c r="F319" s="48"/>
      <c r="G319" s="48"/>
      <c r="H319" s="48"/>
      <c r="I319" s="48"/>
      <c r="J319" s="48"/>
      <c r="K319" s="48"/>
      <c r="L319" s="48"/>
      <c r="M319" s="48"/>
      <c r="N319" s="48"/>
      <c r="O319" s="48"/>
      <c r="P319" s="48"/>
      <c r="Q319" s="48"/>
      <c r="R319" s="48"/>
      <c r="S319" s="48"/>
      <c r="T319" s="48"/>
      <c r="U319" s="48"/>
      <c r="V319" s="48"/>
    </row>
    <row r="320" spans="2:22" s="46" customFormat="1" ht="15" customHeight="1">
      <c r="B320" s="48"/>
      <c r="C320" s="48"/>
      <c r="D320" s="48"/>
      <c r="E320" s="48"/>
      <c r="F320" s="48"/>
      <c r="G320" s="48"/>
      <c r="H320" s="48"/>
      <c r="I320" s="48"/>
      <c r="J320" s="48"/>
      <c r="K320" s="48"/>
      <c r="L320" s="48"/>
      <c r="M320" s="48"/>
      <c r="N320" s="48"/>
      <c r="O320" s="48"/>
      <c r="P320" s="48"/>
      <c r="Q320" s="48"/>
      <c r="R320" s="48"/>
      <c r="S320" s="48"/>
      <c r="T320" s="48"/>
      <c r="U320" s="48"/>
      <c r="V320" s="48"/>
    </row>
    <row r="321" spans="2:22" s="46" customFormat="1" ht="15" customHeight="1">
      <c r="B321" s="48"/>
      <c r="C321" s="48"/>
      <c r="D321" s="48"/>
      <c r="E321" s="48"/>
      <c r="F321" s="48"/>
      <c r="G321" s="48"/>
      <c r="H321" s="48"/>
      <c r="I321" s="48"/>
      <c r="J321" s="48"/>
      <c r="K321" s="48"/>
      <c r="L321" s="48"/>
      <c r="M321" s="48"/>
      <c r="N321" s="48"/>
      <c r="O321" s="48"/>
      <c r="P321" s="48"/>
      <c r="Q321" s="48"/>
      <c r="R321" s="48"/>
      <c r="S321" s="48"/>
      <c r="T321" s="48"/>
      <c r="U321" s="48"/>
      <c r="V321" s="48"/>
    </row>
    <row r="322" spans="2:22" s="46" customFormat="1" ht="15" customHeight="1">
      <c r="B322" s="48"/>
      <c r="C322" s="48"/>
      <c r="D322" s="48"/>
      <c r="E322" s="48"/>
      <c r="F322" s="48"/>
      <c r="G322" s="48"/>
      <c r="H322" s="48"/>
      <c r="I322" s="48"/>
      <c r="J322" s="48"/>
      <c r="K322" s="48"/>
      <c r="L322" s="48"/>
      <c r="M322" s="48"/>
      <c r="N322" s="48"/>
      <c r="O322" s="48"/>
      <c r="P322" s="48"/>
      <c r="Q322" s="48"/>
      <c r="R322" s="48"/>
      <c r="S322" s="48"/>
      <c r="T322" s="48"/>
      <c r="U322" s="48"/>
      <c r="V322" s="48"/>
    </row>
    <row r="323" spans="2:22" s="46" customFormat="1" ht="15" customHeight="1">
      <c r="B323" s="48"/>
      <c r="C323" s="48"/>
      <c r="D323" s="48"/>
      <c r="E323" s="48"/>
      <c r="F323" s="48"/>
      <c r="G323" s="48"/>
      <c r="H323" s="48"/>
      <c r="I323" s="48"/>
      <c r="J323" s="48"/>
      <c r="K323" s="48"/>
      <c r="L323" s="48"/>
      <c r="M323" s="48"/>
      <c r="N323" s="48"/>
      <c r="O323" s="48"/>
      <c r="P323" s="48"/>
      <c r="Q323" s="48"/>
      <c r="R323" s="48"/>
      <c r="S323" s="48"/>
      <c r="T323" s="48"/>
      <c r="U323" s="48"/>
      <c r="V323" s="48"/>
    </row>
    <row r="324" spans="2:22" s="46" customFormat="1" ht="15" customHeight="1">
      <c r="B324" s="48"/>
      <c r="C324" s="48"/>
      <c r="D324" s="48"/>
      <c r="E324" s="48"/>
      <c r="F324" s="48"/>
      <c r="G324" s="48"/>
      <c r="H324" s="48"/>
      <c r="I324" s="48"/>
      <c r="J324" s="48"/>
      <c r="K324" s="48"/>
      <c r="L324" s="48"/>
      <c r="M324" s="48"/>
      <c r="N324" s="48"/>
      <c r="O324" s="48"/>
      <c r="P324" s="48"/>
      <c r="Q324" s="48"/>
      <c r="R324" s="48"/>
      <c r="S324" s="48"/>
      <c r="T324" s="48"/>
      <c r="U324" s="48"/>
      <c r="V324" s="48"/>
    </row>
    <row r="325" spans="2:22" s="46" customFormat="1" ht="15" customHeight="1">
      <c r="B325" s="48"/>
      <c r="C325" s="48"/>
      <c r="D325" s="48"/>
      <c r="E325" s="48"/>
      <c r="F325" s="48"/>
      <c r="G325" s="48"/>
      <c r="H325" s="48"/>
      <c r="I325" s="48"/>
      <c r="J325" s="48"/>
      <c r="K325" s="48"/>
      <c r="L325" s="48"/>
      <c r="M325" s="48"/>
      <c r="N325" s="48"/>
      <c r="O325" s="48"/>
      <c r="P325" s="48"/>
      <c r="Q325" s="48"/>
      <c r="R325" s="48"/>
      <c r="S325" s="48"/>
      <c r="T325" s="48"/>
      <c r="U325" s="48"/>
      <c r="V325" s="48"/>
    </row>
    <row r="326" spans="2:22" s="46" customFormat="1" ht="15" customHeight="1">
      <c r="B326" s="48"/>
      <c r="C326" s="48"/>
      <c r="D326" s="48"/>
      <c r="E326" s="48"/>
      <c r="F326" s="48"/>
      <c r="G326" s="48"/>
      <c r="H326" s="48"/>
      <c r="I326" s="48"/>
      <c r="J326" s="48"/>
      <c r="K326" s="48"/>
      <c r="L326" s="48"/>
      <c r="M326" s="48"/>
      <c r="N326" s="48"/>
      <c r="O326" s="48"/>
      <c r="P326" s="48"/>
      <c r="Q326" s="48"/>
      <c r="R326" s="48"/>
      <c r="S326" s="48"/>
      <c r="T326" s="48"/>
      <c r="U326" s="48"/>
      <c r="V326" s="48"/>
    </row>
    <row r="327" spans="2:22" s="46" customFormat="1" ht="15" customHeight="1">
      <c r="B327" s="48"/>
      <c r="C327" s="48"/>
      <c r="D327" s="48"/>
      <c r="E327" s="48"/>
      <c r="F327" s="48"/>
      <c r="G327" s="48"/>
      <c r="H327" s="48"/>
      <c r="I327" s="48"/>
      <c r="J327" s="48"/>
      <c r="K327" s="48"/>
      <c r="L327" s="48"/>
      <c r="M327" s="48"/>
      <c r="N327" s="48"/>
      <c r="O327" s="48"/>
      <c r="P327" s="48"/>
      <c r="Q327" s="48"/>
      <c r="R327" s="48"/>
      <c r="S327" s="48"/>
      <c r="T327" s="48"/>
      <c r="U327" s="48"/>
      <c r="V327" s="48"/>
    </row>
    <row r="328" spans="2:22" s="46" customFormat="1" ht="15" customHeight="1">
      <c r="B328" s="48"/>
      <c r="C328" s="48"/>
      <c r="D328" s="48"/>
      <c r="E328" s="48"/>
      <c r="F328" s="48"/>
      <c r="G328" s="48"/>
      <c r="H328" s="48"/>
      <c r="I328" s="48"/>
      <c r="J328" s="48"/>
      <c r="K328" s="48"/>
      <c r="L328" s="48"/>
      <c r="M328" s="48"/>
      <c r="N328" s="48"/>
      <c r="O328" s="48"/>
      <c r="P328" s="48"/>
      <c r="Q328" s="48"/>
      <c r="R328" s="48"/>
      <c r="S328" s="48"/>
      <c r="T328" s="48"/>
      <c r="U328" s="48"/>
      <c r="V328" s="48"/>
    </row>
    <row r="329" spans="2:22" s="46" customFormat="1" ht="15" customHeight="1">
      <c r="B329" s="48"/>
      <c r="C329" s="48"/>
      <c r="D329" s="48"/>
      <c r="E329" s="48"/>
      <c r="F329" s="48"/>
      <c r="G329" s="48"/>
      <c r="H329" s="48"/>
      <c r="I329" s="48"/>
      <c r="J329" s="48"/>
      <c r="K329" s="48"/>
      <c r="L329" s="48"/>
      <c r="M329" s="48"/>
      <c r="N329" s="48"/>
      <c r="O329" s="48"/>
      <c r="P329" s="48"/>
      <c r="Q329" s="48"/>
      <c r="R329" s="48"/>
      <c r="S329" s="48"/>
      <c r="T329" s="48"/>
      <c r="U329" s="48"/>
      <c r="V329" s="48"/>
    </row>
    <row r="330" spans="2:22" s="46" customFormat="1" ht="15" customHeight="1">
      <c r="B330" s="48"/>
      <c r="C330" s="48"/>
      <c r="D330" s="48"/>
      <c r="E330" s="48"/>
      <c r="F330" s="48"/>
      <c r="G330" s="48"/>
      <c r="H330" s="48"/>
      <c r="I330" s="48"/>
      <c r="J330" s="48"/>
      <c r="K330" s="48"/>
      <c r="L330" s="48"/>
      <c r="M330" s="48"/>
      <c r="N330" s="48"/>
      <c r="O330" s="48"/>
      <c r="P330" s="48"/>
      <c r="Q330" s="48"/>
      <c r="R330" s="48"/>
      <c r="S330" s="48"/>
      <c r="T330" s="48"/>
      <c r="U330" s="48"/>
      <c r="V330" s="48"/>
    </row>
    <row r="331" spans="2:22" s="46" customFormat="1" ht="15" customHeight="1">
      <c r="B331" s="48"/>
      <c r="C331" s="48"/>
      <c r="D331" s="48"/>
      <c r="E331" s="48"/>
      <c r="F331" s="48"/>
      <c r="G331" s="48"/>
      <c r="H331" s="48"/>
      <c r="I331" s="48"/>
      <c r="J331" s="48"/>
      <c r="K331" s="48"/>
      <c r="L331" s="48"/>
      <c r="M331" s="48"/>
      <c r="N331" s="48"/>
      <c r="O331" s="48"/>
      <c r="P331" s="48"/>
      <c r="Q331" s="48"/>
      <c r="R331" s="48"/>
      <c r="S331" s="48"/>
      <c r="T331" s="48"/>
      <c r="U331" s="48"/>
      <c r="V331" s="48"/>
    </row>
    <row r="332" spans="2:22" s="46" customFormat="1" ht="15" customHeight="1">
      <c r="B332" s="48"/>
      <c r="C332" s="48"/>
      <c r="D332" s="48"/>
      <c r="E332" s="48"/>
      <c r="F332" s="48"/>
      <c r="G332" s="48"/>
      <c r="H332" s="48"/>
      <c r="I332" s="48"/>
      <c r="J332" s="48"/>
      <c r="K332" s="48"/>
      <c r="L332" s="48"/>
      <c r="M332" s="48"/>
      <c r="N332" s="48"/>
      <c r="O332" s="48"/>
      <c r="P332" s="48"/>
      <c r="Q332" s="48"/>
      <c r="R332" s="48"/>
      <c r="S332" s="48"/>
      <c r="T332" s="48"/>
      <c r="U332" s="48"/>
      <c r="V332" s="48"/>
    </row>
    <row r="333" spans="2:22" s="46" customFormat="1" ht="15" customHeight="1">
      <c r="B333" s="48"/>
      <c r="C333" s="48"/>
      <c r="D333" s="48"/>
      <c r="E333" s="48"/>
      <c r="F333" s="48"/>
      <c r="G333" s="48"/>
      <c r="H333" s="48"/>
      <c r="I333" s="48"/>
      <c r="J333" s="48"/>
      <c r="K333" s="48"/>
      <c r="L333" s="48"/>
      <c r="M333" s="48"/>
      <c r="N333" s="48"/>
      <c r="O333" s="48"/>
      <c r="P333" s="48"/>
      <c r="Q333" s="48"/>
      <c r="R333" s="48"/>
      <c r="S333" s="48"/>
      <c r="T333" s="48"/>
      <c r="U333" s="48"/>
      <c r="V333" s="48"/>
    </row>
    <row r="334" spans="2:22" s="46" customFormat="1" ht="15" customHeight="1">
      <c r="B334" s="48"/>
      <c r="C334" s="48"/>
      <c r="D334" s="48"/>
      <c r="E334" s="48"/>
      <c r="F334" s="48"/>
      <c r="G334" s="48"/>
      <c r="H334" s="48"/>
      <c r="I334" s="48"/>
      <c r="J334" s="48"/>
      <c r="K334" s="48"/>
      <c r="L334" s="48"/>
      <c r="M334" s="48"/>
      <c r="N334" s="48"/>
      <c r="O334" s="48"/>
      <c r="P334" s="48"/>
      <c r="Q334" s="48"/>
      <c r="R334" s="48"/>
      <c r="S334" s="48"/>
      <c r="T334" s="48"/>
      <c r="U334" s="48"/>
      <c r="V334" s="48"/>
    </row>
    <row r="335" spans="2:22" s="46" customFormat="1" ht="15" customHeight="1">
      <c r="B335" s="48"/>
      <c r="C335" s="48"/>
      <c r="D335" s="48"/>
      <c r="E335" s="48"/>
      <c r="F335" s="48"/>
      <c r="G335" s="48"/>
      <c r="H335" s="48"/>
      <c r="I335" s="48"/>
      <c r="J335" s="48"/>
      <c r="K335" s="48"/>
      <c r="L335" s="48"/>
      <c r="M335" s="48"/>
      <c r="N335" s="48"/>
      <c r="O335" s="48"/>
      <c r="P335" s="48"/>
      <c r="Q335" s="48"/>
      <c r="R335" s="48"/>
      <c r="S335" s="48"/>
      <c r="T335" s="48"/>
      <c r="U335" s="48"/>
      <c r="V335" s="48"/>
    </row>
    <row r="336" spans="2:22" s="46" customFormat="1" ht="15" customHeight="1">
      <c r="B336" s="48"/>
      <c r="C336" s="48"/>
      <c r="D336" s="48"/>
      <c r="E336" s="48"/>
      <c r="F336" s="48"/>
      <c r="G336" s="48"/>
      <c r="H336" s="48"/>
      <c r="I336" s="48"/>
      <c r="J336" s="48"/>
      <c r="K336" s="48"/>
      <c r="L336" s="48"/>
      <c r="M336" s="48"/>
      <c r="N336" s="48"/>
      <c r="O336" s="48"/>
      <c r="P336" s="48"/>
      <c r="Q336" s="48"/>
      <c r="R336" s="48"/>
      <c r="S336" s="48"/>
      <c r="T336" s="48"/>
      <c r="U336" s="48"/>
      <c r="V336" s="48"/>
    </row>
    <row r="337" spans="2:22" s="46" customFormat="1" ht="15" customHeight="1">
      <c r="B337" s="48"/>
      <c r="C337" s="48"/>
      <c r="D337" s="48"/>
      <c r="E337" s="48"/>
      <c r="F337" s="48"/>
      <c r="G337" s="48"/>
      <c r="H337" s="48"/>
      <c r="I337" s="48"/>
      <c r="J337" s="48"/>
      <c r="K337" s="48"/>
      <c r="L337" s="48"/>
      <c r="M337" s="48"/>
      <c r="N337" s="48"/>
      <c r="O337" s="48"/>
      <c r="P337" s="48"/>
      <c r="Q337" s="48"/>
      <c r="R337" s="48"/>
      <c r="S337" s="48"/>
      <c r="T337" s="48"/>
      <c r="U337" s="48"/>
      <c r="V337" s="48"/>
    </row>
    <row r="338" spans="2:22" s="46" customFormat="1" ht="15" customHeight="1">
      <c r="B338" s="48"/>
      <c r="C338" s="48"/>
      <c r="D338" s="48"/>
      <c r="E338" s="48"/>
      <c r="F338" s="48"/>
      <c r="G338" s="48"/>
      <c r="H338" s="48"/>
      <c r="I338" s="48"/>
      <c r="J338" s="48"/>
      <c r="K338" s="48"/>
      <c r="L338" s="48"/>
      <c r="M338" s="48"/>
      <c r="N338" s="48"/>
      <c r="O338" s="48"/>
      <c r="P338" s="48"/>
      <c r="Q338" s="48"/>
      <c r="R338" s="48"/>
      <c r="S338" s="48"/>
      <c r="T338" s="48"/>
      <c r="U338" s="48"/>
      <c r="V338" s="48"/>
    </row>
    <row r="339" spans="2:22" s="46" customFormat="1" ht="15" customHeight="1">
      <c r="B339" s="48"/>
      <c r="C339" s="48"/>
      <c r="D339" s="48"/>
      <c r="E339" s="48"/>
      <c r="F339" s="48"/>
      <c r="G339" s="48"/>
      <c r="H339" s="48"/>
      <c r="I339" s="48"/>
      <c r="J339" s="48"/>
      <c r="K339" s="48"/>
      <c r="L339" s="48"/>
      <c r="M339" s="48"/>
      <c r="N339" s="48"/>
      <c r="O339" s="48"/>
      <c r="P339" s="48"/>
      <c r="Q339" s="48"/>
      <c r="R339" s="48"/>
      <c r="S339" s="48"/>
      <c r="T339" s="48"/>
      <c r="U339" s="48"/>
      <c r="V339" s="48"/>
    </row>
    <row r="340" spans="2:22" s="46" customFormat="1" ht="15" customHeight="1">
      <c r="B340" s="48"/>
      <c r="C340" s="48"/>
      <c r="D340" s="48"/>
      <c r="E340" s="48"/>
      <c r="F340" s="48"/>
      <c r="G340" s="48"/>
      <c r="H340" s="48"/>
      <c r="I340" s="48"/>
      <c r="J340" s="48"/>
      <c r="K340" s="48"/>
      <c r="L340" s="48"/>
      <c r="M340" s="48"/>
      <c r="N340" s="48"/>
      <c r="O340" s="48"/>
      <c r="P340" s="48"/>
      <c r="Q340" s="48"/>
      <c r="R340" s="48"/>
      <c r="S340" s="48"/>
      <c r="T340" s="48"/>
      <c r="U340" s="48"/>
      <c r="V340" s="48"/>
    </row>
    <row r="341" spans="2:22" s="46" customFormat="1" ht="15" customHeight="1">
      <c r="B341" s="48"/>
      <c r="C341" s="48"/>
      <c r="D341" s="48"/>
      <c r="E341" s="48"/>
      <c r="F341" s="48"/>
      <c r="G341" s="48"/>
      <c r="H341" s="48"/>
      <c r="I341" s="48"/>
      <c r="J341" s="48"/>
      <c r="K341" s="48"/>
      <c r="L341" s="48"/>
      <c r="M341" s="48"/>
      <c r="N341" s="48"/>
      <c r="O341" s="48"/>
      <c r="P341" s="48"/>
      <c r="Q341" s="48"/>
      <c r="R341" s="48"/>
      <c r="S341" s="48"/>
      <c r="T341" s="48"/>
      <c r="U341" s="48"/>
      <c r="V341" s="48"/>
    </row>
    <row r="342" spans="2:22" s="46" customFormat="1" ht="15" customHeight="1">
      <c r="B342" s="48"/>
      <c r="C342" s="48"/>
      <c r="D342" s="48"/>
      <c r="E342" s="48"/>
      <c r="F342" s="48"/>
      <c r="G342" s="48"/>
      <c r="H342" s="48"/>
      <c r="I342" s="48"/>
      <c r="J342" s="48"/>
      <c r="K342" s="48"/>
      <c r="L342" s="48"/>
      <c r="M342" s="48"/>
      <c r="N342" s="48"/>
      <c r="O342" s="48"/>
      <c r="P342" s="48"/>
      <c r="Q342" s="48"/>
      <c r="R342" s="48"/>
      <c r="S342" s="48"/>
      <c r="T342" s="48"/>
      <c r="U342" s="48"/>
      <c r="V342" s="48"/>
    </row>
    <row r="343" spans="2:22" s="46" customFormat="1" ht="15" customHeight="1">
      <c r="B343" s="48"/>
      <c r="C343" s="48"/>
      <c r="D343" s="48"/>
      <c r="E343" s="48"/>
      <c r="F343" s="48"/>
      <c r="G343" s="48"/>
      <c r="H343" s="48"/>
      <c r="I343" s="48"/>
      <c r="J343" s="48"/>
      <c r="K343" s="48"/>
      <c r="L343" s="48"/>
      <c r="M343" s="48"/>
      <c r="N343" s="48"/>
      <c r="O343" s="48"/>
      <c r="P343" s="48"/>
      <c r="Q343" s="48"/>
      <c r="R343" s="48"/>
      <c r="S343" s="48"/>
      <c r="T343" s="48"/>
      <c r="U343" s="48"/>
      <c r="V343" s="48"/>
    </row>
    <row r="344" spans="2:22" s="46" customFormat="1" ht="15" customHeight="1">
      <c r="B344" s="48"/>
      <c r="C344" s="48"/>
      <c r="D344" s="48"/>
      <c r="E344" s="48"/>
      <c r="F344" s="48"/>
      <c r="G344" s="48"/>
      <c r="H344" s="48"/>
      <c r="I344" s="48"/>
      <c r="J344" s="48"/>
      <c r="K344" s="48"/>
      <c r="L344" s="48"/>
      <c r="M344" s="48"/>
      <c r="N344" s="48"/>
      <c r="O344" s="48"/>
      <c r="P344" s="48"/>
      <c r="Q344" s="48"/>
      <c r="R344" s="48"/>
      <c r="S344" s="48"/>
      <c r="T344" s="48"/>
      <c r="U344" s="48"/>
      <c r="V344" s="48"/>
    </row>
    <row r="345" spans="2:22" s="46" customFormat="1" ht="15" customHeight="1">
      <c r="B345" s="48"/>
      <c r="C345" s="48"/>
      <c r="D345" s="48"/>
      <c r="E345" s="48"/>
      <c r="F345" s="48"/>
      <c r="G345" s="48"/>
      <c r="H345" s="48"/>
      <c r="I345" s="48"/>
      <c r="J345" s="48"/>
      <c r="K345" s="48"/>
      <c r="L345" s="48"/>
      <c r="M345" s="48"/>
      <c r="N345" s="48"/>
      <c r="O345" s="48"/>
      <c r="P345" s="48"/>
      <c r="Q345" s="48"/>
      <c r="R345" s="48"/>
      <c r="S345" s="48"/>
      <c r="T345" s="48"/>
      <c r="U345" s="48"/>
      <c r="V345" s="48"/>
    </row>
    <row r="346" spans="2:22" s="46" customFormat="1" ht="15" customHeight="1">
      <c r="B346" s="48"/>
      <c r="C346" s="48"/>
      <c r="D346" s="48"/>
      <c r="E346" s="48"/>
      <c r="F346" s="48"/>
      <c r="G346" s="48"/>
      <c r="H346" s="48"/>
      <c r="I346" s="48"/>
      <c r="J346" s="48"/>
      <c r="K346" s="48"/>
      <c r="L346" s="48"/>
      <c r="M346" s="48"/>
      <c r="N346" s="48"/>
      <c r="O346" s="48"/>
      <c r="P346" s="48"/>
      <c r="Q346" s="48"/>
      <c r="R346" s="48"/>
      <c r="S346" s="48"/>
      <c r="T346" s="48"/>
      <c r="U346" s="48"/>
      <c r="V346" s="48"/>
    </row>
    <row r="347" spans="2:22" s="46" customFormat="1" ht="15" customHeight="1">
      <c r="B347" s="48"/>
      <c r="C347" s="48"/>
      <c r="D347" s="48"/>
      <c r="E347" s="48"/>
      <c r="F347" s="48"/>
      <c r="G347" s="48"/>
      <c r="H347" s="48"/>
      <c r="I347" s="48"/>
      <c r="J347" s="48"/>
      <c r="K347" s="48"/>
      <c r="L347" s="48"/>
      <c r="M347" s="48"/>
      <c r="N347" s="48"/>
      <c r="O347" s="48"/>
      <c r="P347" s="48"/>
      <c r="Q347" s="48"/>
      <c r="R347" s="48"/>
      <c r="S347" s="48"/>
      <c r="T347" s="48"/>
      <c r="U347" s="48"/>
      <c r="V347" s="48"/>
    </row>
    <row r="348" spans="2:22" s="46" customFormat="1" ht="15" customHeight="1">
      <c r="B348" s="48"/>
      <c r="C348" s="48"/>
      <c r="D348" s="48"/>
      <c r="E348" s="48"/>
      <c r="F348" s="48"/>
      <c r="G348" s="48"/>
      <c r="H348" s="48"/>
      <c r="I348" s="48"/>
      <c r="J348" s="48"/>
      <c r="K348" s="48"/>
      <c r="L348" s="48"/>
      <c r="M348" s="48"/>
      <c r="N348" s="48"/>
      <c r="O348" s="48"/>
      <c r="P348" s="48"/>
      <c r="Q348" s="48"/>
      <c r="R348" s="48"/>
      <c r="S348" s="48"/>
      <c r="T348" s="48"/>
      <c r="U348" s="48"/>
      <c r="V348" s="48"/>
    </row>
    <row r="349" spans="2:22" s="46" customFormat="1" ht="15" customHeight="1">
      <c r="B349" s="48"/>
      <c r="C349" s="48"/>
      <c r="D349" s="48"/>
      <c r="E349" s="48"/>
      <c r="F349" s="48"/>
      <c r="G349" s="48"/>
      <c r="H349" s="48"/>
      <c r="I349" s="48"/>
      <c r="J349" s="48"/>
      <c r="K349" s="48"/>
      <c r="L349" s="48"/>
      <c r="M349" s="48"/>
      <c r="N349" s="48"/>
      <c r="O349" s="48"/>
      <c r="P349" s="48"/>
      <c r="Q349" s="48"/>
      <c r="R349" s="48"/>
      <c r="S349" s="48"/>
      <c r="T349" s="48"/>
      <c r="U349" s="48"/>
      <c r="V349" s="48"/>
    </row>
    <row r="350" spans="2:22" s="46" customFormat="1" ht="15" customHeight="1">
      <c r="B350" s="48"/>
      <c r="C350" s="48"/>
      <c r="D350" s="48"/>
      <c r="E350" s="48"/>
      <c r="F350" s="48"/>
      <c r="G350" s="48"/>
      <c r="H350" s="48"/>
      <c r="I350" s="48"/>
      <c r="J350" s="48"/>
      <c r="K350" s="48"/>
      <c r="L350" s="48"/>
      <c r="M350" s="48"/>
      <c r="N350" s="48"/>
      <c r="O350" s="48"/>
      <c r="P350" s="48"/>
      <c r="Q350" s="48"/>
      <c r="R350" s="48"/>
      <c r="S350" s="48"/>
      <c r="T350" s="48"/>
      <c r="U350" s="48"/>
      <c r="V350" s="48"/>
    </row>
    <row r="351" spans="2:22" s="46" customFormat="1" ht="15" customHeight="1">
      <c r="B351" s="48"/>
      <c r="C351" s="48"/>
      <c r="D351" s="48"/>
      <c r="E351" s="48"/>
      <c r="F351" s="48"/>
      <c r="G351" s="48"/>
      <c r="H351" s="48"/>
      <c r="I351" s="48"/>
      <c r="J351" s="48"/>
      <c r="K351" s="48"/>
      <c r="L351" s="48"/>
      <c r="M351" s="48"/>
      <c r="N351" s="48"/>
      <c r="O351" s="48"/>
      <c r="P351" s="48"/>
      <c r="Q351" s="48"/>
      <c r="R351" s="48"/>
      <c r="S351" s="48"/>
      <c r="T351" s="48"/>
      <c r="U351" s="48"/>
      <c r="V351" s="48"/>
    </row>
    <row r="352" spans="2:22" s="46" customFormat="1" ht="15" customHeight="1">
      <c r="B352" s="48"/>
      <c r="C352" s="48"/>
      <c r="D352" s="48"/>
      <c r="E352" s="48"/>
      <c r="F352" s="48"/>
      <c r="G352" s="48"/>
      <c r="H352" s="48"/>
      <c r="I352" s="48"/>
      <c r="J352" s="48"/>
      <c r="K352" s="48"/>
      <c r="L352" s="48"/>
      <c r="M352" s="48"/>
      <c r="N352" s="48"/>
      <c r="O352" s="48"/>
      <c r="P352" s="48"/>
      <c r="Q352" s="48"/>
      <c r="R352" s="48"/>
      <c r="S352" s="48"/>
      <c r="T352" s="48"/>
      <c r="U352" s="48"/>
      <c r="V352" s="48"/>
    </row>
    <row r="353" spans="2:22" s="46" customFormat="1" ht="15" customHeight="1">
      <c r="B353" s="48"/>
      <c r="C353" s="48"/>
      <c r="D353" s="48"/>
      <c r="E353" s="48"/>
      <c r="F353" s="48"/>
      <c r="G353" s="48"/>
      <c r="H353" s="48"/>
      <c r="I353" s="48"/>
      <c r="J353" s="48"/>
      <c r="K353" s="48"/>
      <c r="L353" s="48"/>
      <c r="M353" s="48"/>
      <c r="N353" s="48"/>
      <c r="O353" s="48"/>
      <c r="P353" s="48"/>
      <c r="Q353" s="48"/>
      <c r="R353" s="48"/>
      <c r="S353" s="48"/>
      <c r="T353" s="48"/>
      <c r="U353" s="48"/>
      <c r="V353" s="48"/>
    </row>
    <row r="354" spans="2:22" s="46" customFormat="1" ht="15" customHeight="1">
      <c r="B354" s="48"/>
      <c r="C354" s="48"/>
      <c r="D354" s="48"/>
      <c r="E354" s="48"/>
      <c r="F354" s="48"/>
      <c r="G354" s="48"/>
      <c r="H354" s="48"/>
      <c r="I354" s="48"/>
      <c r="J354" s="48"/>
      <c r="K354" s="48"/>
      <c r="L354" s="48"/>
      <c r="M354" s="48"/>
      <c r="N354" s="48"/>
      <c r="O354" s="48"/>
      <c r="P354" s="48"/>
      <c r="Q354" s="48"/>
      <c r="R354" s="48"/>
      <c r="S354" s="48"/>
      <c r="T354" s="48"/>
      <c r="U354" s="48"/>
      <c r="V354" s="48"/>
    </row>
    <row r="355" spans="2:22" s="46" customFormat="1" ht="15" customHeight="1">
      <c r="B355" s="48"/>
      <c r="C355" s="48"/>
      <c r="D355" s="48"/>
      <c r="E355" s="48"/>
      <c r="F355" s="48"/>
      <c r="G355" s="48"/>
      <c r="H355" s="48"/>
      <c r="I355" s="48"/>
      <c r="J355" s="48"/>
      <c r="K355" s="48"/>
      <c r="L355" s="48"/>
      <c r="M355" s="48"/>
      <c r="N355" s="48"/>
      <c r="O355" s="48"/>
      <c r="P355" s="48"/>
      <c r="Q355" s="48"/>
      <c r="R355" s="48"/>
      <c r="S355" s="48"/>
      <c r="T355" s="48"/>
      <c r="U355" s="48"/>
      <c r="V355" s="48"/>
    </row>
    <row r="356" spans="2:22" s="46" customFormat="1" ht="15" customHeight="1">
      <c r="B356" s="48"/>
      <c r="C356" s="48"/>
      <c r="D356" s="48"/>
      <c r="E356" s="48"/>
      <c r="F356" s="48"/>
      <c r="G356" s="48"/>
      <c r="H356" s="48"/>
      <c r="I356" s="48"/>
      <c r="J356" s="48"/>
      <c r="K356" s="48"/>
      <c r="L356" s="48"/>
      <c r="M356" s="48"/>
      <c r="N356" s="48"/>
      <c r="O356" s="48"/>
      <c r="P356" s="48"/>
      <c r="Q356" s="48"/>
      <c r="R356" s="48"/>
      <c r="S356" s="48"/>
      <c r="T356" s="48"/>
      <c r="U356" s="48"/>
      <c r="V356" s="48"/>
    </row>
    <row r="357" spans="2:22" s="46" customFormat="1" ht="15" customHeight="1">
      <c r="B357" s="48"/>
      <c r="C357" s="48"/>
      <c r="D357" s="48"/>
      <c r="E357" s="48"/>
      <c r="F357" s="48"/>
      <c r="G357" s="48"/>
      <c r="H357" s="48"/>
      <c r="I357" s="48"/>
      <c r="J357" s="48"/>
      <c r="K357" s="48"/>
      <c r="L357" s="48"/>
      <c r="M357" s="48"/>
      <c r="N357" s="48"/>
      <c r="O357" s="48"/>
      <c r="P357" s="48"/>
      <c r="Q357" s="48"/>
      <c r="R357" s="48"/>
      <c r="S357" s="48"/>
      <c r="T357" s="48"/>
      <c r="U357" s="48"/>
      <c r="V357" s="48"/>
    </row>
    <row r="358" spans="2:22" s="46" customFormat="1" ht="15" customHeight="1">
      <c r="B358" s="48"/>
      <c r="C358" s="48"/>
      <c r="D358" s="48"/>
      <c r="E358" s="48"/>
      <c r="F358" s="48"/>
      <c r="G358" s="48"/>
      <c r="H358" s="48"/>
      <c r="I358" s="48"/>
      <c r="J358" s="48"/>
      <c r="K358" s="48"/>
      <c r="L358" s="48"/>
      <c r="M358" s="48"/>
      <c r="N358" s="48"/>
      <c r="O358" s="48"/>
      <c r="P358" s="48"/>
      <c r="Q358" s="48"/>
      <c r="R358" s="48"/>
      <c r="S358" s="48"/>
      <c r="T358" s="48"/>
      <c r="U358" s="48"/>
      <c r="V358" s="48"/>
    </row>
    <row r="359" spans="2:22" s="46" customFormat="1" ht="15" customHeight="1">
      <c r="B359" s="48"/>
      <c r="C359" s="48"/>
      <c r="D359" s="48"/>
      <c r="E359" s="48"/>
      <c r="F359" s="48"/>
      <c r="G359" s="48"/>
      <c r="H359" s="48"/>
      <c r="I359" s="48"/>
      <c r="J359" s="48"/>
      <c r="K359" s="48"/>
      <c r="L359" s="48"/>
      <c r="M359" s="48"/>
      <c r="N359" s="48"/>
      <c r="O359" s="48"/>
      <c r="P359" s="48"/>
      <c r="Q359" s="48"/>
      <c r="R359" s="48"/>
      <c r="S359" s="48"/>
      <c r="T359" s="48"/>
      <c r="U359" s="48"/>
      <c r="V359" s="48"/>
    </row>
    <row r="360" spans="2:22" s="46" customFormat="1" ht="15" customHeight="1">
      <c r="B360" s="48"/>
      <c r="C360" s="48"/>
      <c r="D360" s="48"/>
      <c r="E360" s="48"/>
      <c r="F360" s="48"/>
      <c r="G360" s="48"/>
      <c r="H360" s="48"/>
      <c r="I360" s="48"/>
      <c r="J360" s="48"/>
      <c r="K360" s="48"/>
      <c r="L360" s="48"/>
      <c r="M360" s="48"/>
      <c r="N360" s="48"/>
      <c r="O360" s="48"/>
      <c r="P360" s="48"/>
      <c r="Q360" s="48"/>
      <c r="R360" s="48"/>
      <c r="S360" s="48"/>
      <c r="T360" s="48"/>
      <c r="U360" s="48"/>
      <c r="V360" s="48"/>
    </row>
    <row r="361" spans="2:22" s="46" customFormat="1" ht="15" customHeight="1">
      <c r="B361" s="48"/>
      <c r="C361" s="48"/>
      <c r="D361" s="48"/>
      <c r="E361" s="48"/>
      <c r="F361" s="48"/>
      <c r="G361" s="48"/>
      <c r="H361" s="48"/>
      <c r="I361" s="48"/>
      <c r="J361" s="48"/>
      <c r="K361" s="48"/>
      <c r="L361" s="48"/>
      <c r="M361" s="48"/>
      <c r="N361" s="48"/>
      <c r="O361" s="48"/>
      <c r="P361" s="48"/>
      <c r="Q361" s="48"/>
      <c r="R361" s="48"/>
      <c r="S361" s="48"/>
      <c r="T361" s="48"/>
      <c r="U361" s="48"/>
      <c r="V361" s="48"/>
    </row>
    <row r="362" spans="2:22" s="46" customFormat="1" ht="15" customHeight="1">
      <c r="B362" s="48"/>
      <c r="C362" s="48"/>
      <c r="D362" s="48"/>
      <c r="E362" s="48"/>
      <c r="F362" s="48"/>
      <c r="G362" s="48"/>
      <c r="H362" s="48"/>
      <c r="I362" s="48"/>
      <c r="J362" s="48"/>
      <c r="K362" s="48"/>
      <c r="L362" s="48"/>
      <c r="M362" s="48"/>
      <c r="N362" s="48"/>
      <c r="O362" s="48"/>
      <c r="P362" s="48"/>
      <c r="Q362" s="48"/>
      <c r="R362" s="48"/>
      <c r="S362" s="48"/>
      <c r="T362" s="48"/>
      <c r="U362" s="48"/>
      <c r="V362" s="48"/>
    </row>
    <row r="363" spans="2:22" s="46" customFormat="1" ht="15" customHeight="1">
      <c r="B363" s="48"/>
      <c r="C363" s="48"/>
      <c r="D363" s="48"/>
      <c r="E363" s="48"/>
      <c r="F363" s="48"/>
      <c r="G363" s="48"/>
      <c r="H363" s="48"/>
      <c r="I363" s="48"/>
      <c r="J363" s="48"/>
      <c r="K363" s="48"/>
      <c r="L363" s="48"/>
      <c r="M363" s="48"/>
      <c r="N363" s="48"/>
      <c r="O363" s="48"/>
      <c r="P363" s="48"/>
      <c r="Q363" s="48"/>
      <c r="R363" s="48"/>
      <c r="S363" s="48"/>
      <c r="T363" s="48"/>
      <c r="U363" s="48"/>
      <c r="V363" s="48"/>
    </row>
    <row r="364" spans="2:22" s="46" customFormat="1" ht="15" customHeight="1">
      <c r="B364" s="48"/>
      <c r="C364" s="48"/>
      <c r="D364" s="48"/>
      <c r="E364" s="48"/>
      <c r="F364" s="48"/>
      <c r="G364" s="48"/>
      <c r="H364" s="48"/>
      <c r="I364" s="48"/>
      <c r="J364" s="48"/>
      <c r="K364" s="48"/>
      <c r="L364" s="48"/>
      <c r="M364" s="48"/>
      <c r="N364" s="48"/>
      <c r="O364" s="48"/>
      <c r="P364" s="48"/>
      <c r="Q364" s="48"/>
      <c r="R364" s="48"/>
      <c r="S364" s="48"/>
      <c r="T364" s="48"/>
      <c r="U364" s="48"/>
      <c r="V364" s="48"/>
    </row>
    <row r="365" spans="2:22" s="46" customFormat="1" ht="15" customHeight="1">
      <c r="B365" s="48"/>
      <c r="C365" s="48"/>
      <c r="D365" s="48"/>
      <c r="E365" s="48"/>
      <c r="F365" s="48"/>
      <c r="G365" s="48"/>
      <c r="H365" s="48"/>
      <c r="I365" s="48"/>
      <c r="J365" s="48"/>
      <c r="K365" s="48"/>
      <c r="L365" s="48"/>
      <c r="M365" s="48"/>
      <c r="N365" s="48"/>
      <c r="O365" s="48"/>
      <c r="P365" s="48"/>
      <c r="Q365" s="48"/>
      <c r="R365" s="48"/>
      <c r="S365" s="48"/>
      <c r="T365" s="48"/>
      <c r="U365" s="48"/>
      <c r="V365" s="48"/>
    </row>
    <row r="366" spans="2:22" s="46" customFormat="1" ht="15" customHeight="1">
      <c r="B366" s="48"/>
      <c r="C366" s="48"/>
      <c r="D366" s="48"/>
      <c r="E366" s="48"/>
      <c r="F366" s="48"/>
      <c r="G366" s="48"/>
      <c r="H366" s="48"/>
      <c r="I366" s="48"/>
      <c r="J366" s="48"/>
      <c r="K366" s="48"/>
      <c r="L366" s="48"/>
      <c r="M366" s="48"/>
      <c r="N366" s="48"/>
      <c r="O366" s="48"/>
      <c r="P366" s="48"/>
      <c r="Q366" s="48"/>
      <c r="R366" s="48"/>
      <c r="S366" s="48"/>
      <c r="T366" s="48"/>
      <c r="U366" s="48"/>
      <c r="V366" s="48"/>
    </row>
    <row r="367" spans="2:22" s="46" customFormat="1" ht="15" customHeight="1">
      <c r="B367" s="48"/>
      <c r="C367" s="48"/>
      <c r="D367" s="48"/>
      <c r="E367" s="48"/>
      <c r="F367" s="48"/>
      <c r="G367" s="48"/>
      <c r="H367" s="48"/>
      <c r="I367" s="48"/>
      <c r="J367" s="48"/>
      <c r="K367" s="48"/>
      <c r="L367" s="48"/>
      <c r="M367" s="48"/>
      <c r="N367" s="48"/>
      <c r="O367" s="48"/>
      <c r="P367" s="48"/>
      <c r="Q367" s="48"/>
      <c r="R367" s="48"/>
      <c r="S367" s="48"/>
      <c r="T367" s="48"/>
      <c r="U367" s="48"/>
      <c r="V367" s="48"/>
    </row>
    <row r="368" spans="2:22" s="46" customFormat="1" ht="15" customHeight="1">
      <c r="B368" s="48"/>
      <c r="C368" s="48"/>
      <c r="D368" s="48"/>
      <c r="E368" s="48"/>
      <c r="F368" s="48"/>
      <c r="G368" s="48"/>
      <c r="H368" s="48"/>
      <c r="I368" s="48"/>
      <c r="J368" s="48"/>
      <c r="K368" s="48"/>
      <c r="L368" s="48"/>
      <c r="M368" s="48"/>
      <c r="N368" s="48"/>
      <c r="O368" s="48"/>
      <c r="P368" s="48"/>
      <c r="Q368" s="48"/>
      <c r="R368" s="48"/>
      <c r="S368" s="48"/>
      <c r="T368" s="48"/>
      <c r="U368" s="48"/>
      <c r="V368" s="48"/>
    </row>
    <row r="369" spans="2:22" s="46" customFormat="1" ht="15" customHeight="1">
      <c r="B369" s="48"/>
      <c r="C369" s="48"/>
      <c r="D369" s="48"/>
      <c r="E369" s="48"/>
      <c r="F369" s="48"/>
      <c r="G369" s="48"/>
      <c r="H369" s="48"/>
      <c r="I369" s="48"/>
      <c r="J369" s="48"/>
      <c r="K369" s="48"/>
      <c r="L369" s="48"/>
      <c r="M369" s="48"/>
      <c r="N369" s="48"/>
      <c r="O369" s="48"/>
      <c r="P369" s="48"/>
      <c r="Q369" s="48"/>
      <c r="R369" s="48"/>
      <c r="S369" s="48"/>
      <c r="T369" s="48"/>
      <c r="U369" s="48"/>
      <c r="V369" s="48"/>
    </row>
    <row r="370" spans="2:22" s="46" customFormat="1" ht="15" customHeight="1">
      <c r="B370" s="48"/>
      <c r="C370" s="48"/>
      <c r="D370" s="48"/>
      <c r="E370" s="48"/>
      <c r="F370" s="48"/>
      <c r="G370" s="48"/>
      <c r="H370" s="48"/>
      <c r="I370" s="48"/>
      <c r="J370" s="48"/>
      <c r="K370" s="48"/>
      <c r="L370" s="48"/>
      <c r="M370" s="48"/>
      <c r="N370" s="48"/>
      <c r="O370" s="48"/>
      <c r="P370" s="48"/>
      <c r="Q370" s="48"/>
      <c r="R370" s="48"/>
      <c r="S370" s="48"/>
      <c r="T370" s="48"/>
      <c r="U370" s="48"/>
      <c r="V370" s="48"/>
    </row>
    <row r="371" spans="2:22" s="46" customFormat="1" ht="15" customHeight="1">
      <c r="B371" s="48"/>
      <c r="C371" s="48"/>
      <c r="D371" s="48"/>
      <c r="E371" s="48"/>
      <c r="F371" s="48"/>
      <c r="G371" s="48"/>
      <c r="H371" s="48"/>
      <c r="I371" s="48"/>
      <c r="J371" s="48"/>
      <c r="K371" s="48"/>
      <c r="L371" s="48"/>
      <c r="M371" s="48"/>
      <c r="N371" s="48"/>
      <c r="O371" s="48"/>
      <c r="P371" s="48"/>
      <c r="Q371" s="48"/>
      <c r="R371" s="48"/>
      <c r="S371" s="48"/>
      <c r="T371" s="48"/>
      <c r="U371" s="48"/>
      <c r="V371" s="48"/>
    </row>
    <row r="372" spans="2:22" s="46" customFormat="1" ht="15" customHeight="1">
      <c r="B372" s="48"/>
      <c r="C372" s="48"/>
      <c r="D372" s="48"/>
      <c r="E372" s="48"/>
      <c r="F372" s="48"/>
      <c r="G372" s="48"/>
      <c r="H372" s="48"/>
      <c r="I372" s="48"/>
      <c r="J372" s="48"/>
      <c r="K372" s="48"/>
      <c r="L372" s="48"/>
      <c r="M372" s="48"/>
      <c r="N372" s="48"/>
      <c r="O372" s="48"/>
      <c r="P372" s="48"/>
      <c r="Q372" s="48"/>
      <c r="R372" s="48"/>
      <c r="S372" s="48"/>
      <c r="T372" s="48"/>
      <c r="U372" s="48"/>
      <c r="V372" s="48"/>
    </row>
    <row r="373" spans="2:22" s="46" customFormat="1" ht="15" customHeight="1">
      <c r="B373" s="48"/>
      <c r="C373" s="48"/>
      <c r="D373" s="48"/>
      <c r="E373" s="48"/>
      <c r="F373" s="48"/>
      <c r="G373" s="48"/>
      <c r="H373" s="48"/>
      <c r="I373" s="48"/>
      <c r="J373" s="48"/>
      <c r="K373" s="48"/>
      <c r="L373" s="48"/>
      <c r="M373" s="48"/>
      <c r="N373" s="48"/>
      <c r="O373" s="48"/>
      <c r="P373" s="48"/>
      <c r="Q373" s="48"/>
      <c r="R373" s="48"/>
      <c r="S373" s="48"/>
      <c r="T373" s="48"/>
      <c r="U373" s="48"/>
      <c r="V373" s="48"/>
    </row>
    <row r="374" spans="2:22" s="46" customFormat="1" ht="15" customHeight="1">
      <c r="B374" s="48"/>
      <c r="C374" s="48"/>
      <c r="D374" s="48"/>
      <c r="E374" s="48"/>
      <c r="F374" s="48"/>
      <c r="G374" s="48"/>
      <c r="H374" s="48"/>
      <c r="I374" s="48"/>
      <c r="J374" s="48"/>
      <c r="K374" s="48"/>
      <c r="L374" s="48"/>
      <c r="M374" s="48"/>
      <c r="N374" s="48"/>
      <c r="O374" s="48"/>
      <c r="P374" s="48"/>
      <c r="Q374" s="48"/>
      <c r="R374" s="48"/>
      <c r="S374" s="48"/>
      <c r="T374" s="48"/>
      <c r="U374" s="48"/>
      <c r="V374" s="48"/>
    </row>
    <row r="375" spans="2:22" s="46" customFormat="1" ht="15" customHeight="1">
      <c r="B375" s="48"/>
      <c r="C375" s="48"/>
      <c r="D375" s="48"/>
      <c r="E375" s="48"/>
      <c r="F375" s="48"/>
      <c r="G375" s="48"/>
      <c r="H375" s="48"/>
      <c r="I375" s="48"/>
      <c r="J375" s="48"/>
      <c r="K375" s="48"/>
      <c r="L375" s="48"/>
      <c r="M375" s="48"/>
      <c r="N375" s="48"/>
      <c r="O375" s="48"/>
      <c r="P375" s="48"/>
      <c r="Q375" s="48"/>
      <c r="R375" s="48"/>
      <c r="S375" s="48"/>
      <c r="T375" s="48"/>
      <c r="U375" s="48"/>
      <c r="V375" s="48"/>
    </row>
    <row r="376" spans="2:22" s="46" customFormat="1" ht="15" customHeight="1">
      <c r="B376" s="48"/>
      <c r="C376" s="48"/>
      <c r="D376" s="48"/>
      <c r="E376" s="48"/>
      <c r="F376" s="48"/>
      <c r="G376" s="48"/>
      <c r="H376" s="48"/>
      <c r="I376" s="48"/>
      <c r="J376" s="48"/>
      <c r="K376" s="48"/>
      <c r="L376" s="48"/>
      <c r="M376" s="48"/>
      <c r="N376" s="48"/>
      <c r="O376" s="48"/>
      <c r="P376" s="48"/>
      <c r="Q376" s="48"/>
      <c r="R376" s="48"/>
      <c r="S376" s="48"/>
      <c r="T376" s="48"/>
      <c r="U376" s="48"/>
      <c r="V376" s="48"/>
    </row>
    <row r="377" spans="2:22" s="46" customFormat="1" ht="15" customHeight="1">
      <c r="B377" s="48"/>
      <c r="C377" s="48"/>
      <c r="D377" s="48"/>
      <c r="E377" s="48"/>
      <c r="F377" s="48"/>
      <c r="G377" s="48"/>
      <c r="H377" s="48"/>
      <c r="I377" s="48"/>
      <c r="J377" s="48"/>
      <c r="K377" s="48"/>
      <c r="L377" s="48"/>
      <c r="M377" s="48"/>
      <c r="N377" s="48"/>
      <c r="O377" s="48"/>
      <c r="P377" s="48"/>
      <c r="Q377" s="48"/>
      <c r="R377" s="48"/>
      <c r="S377" s="48"/>
      <c r="T377" s="48"/>
      <c r="U377" s="48"/>
      <c r="V377" s="48"/>
    </row>
    <row r="378" spans="2:22" s="46" customFormat="1" ht="15" customHeight="1">
      <c r="B378" s="48"/>
      <c r="C378" s="48"/>
      <c r="D378" s="48"/>
      <c r="E378" s="48"/>
      <c r="F378" s="48"/>
      <c r="G378" s="48"/>
      <c r="H378" s="48"/>
      <c r="I378" s="48"/>
      <c r="J378" s="48"/>
      <c r="K378" s="48"/>
      <c r="L378" s="48"/>
      <c r="M378" s="48"/>
      <c r="N378" s="48"/>
      <c r="O378" s="48"/>
      <c r="P378" s="48"/>
      <c r="Q378" s="48"/>
      <c r="R378" s="48"/>
      <c r="S378" s="48"/>
      <c r="T378" s="48"/>
      <c r="U378" s="48"/>
      <c r="V378" s="48"/>
    </row>
    <row r="379" spans="2:22" s="46" customFormat="1" ht="15" customHeight="1">
      <c r="B379" s="48"/>
      <c r="C379" s="48"/>
      <c r="D379" s="48"/>
      <c r="E379" s="48"/>
      <c r="F379" s="48"/>
      <c r="G379" s="48"/>
      <c r="H379" s="48"/>
      <c r="I379" s="48"/>
      <c r="J379" s="48"/>
      <c r="K379" s="48"/>
      <c r="L379" s="48"/>
      <c r="M379" s="48"/>
      <c r="N379" s="48"/>
      <c r="O379" s="48"/>
      <c r="P379" s="48"/>
      <c r="Q379" s="48"/>
      <c r="R379" s="48"/>
      <c r="S379" s="48"/>
      <c r="T379" s="48"/>
      <c r="U379" s="48"/>
      <c r="V379" s="48"/>
    </row>
    <row r="380" spans="2:22" s="46" customFormat="1" ht="15" customHeight="1">
      <c r="B380" s="48"/>
      <c r="C380" s="48"/>
      <c r="D380" s="48"/>
      <c r="E380" s="48"/>
      <c r="F380" s="48"/>
      <c r="G380" s="48"/>
      <c r="H380" s="48"/>
      <c r="I380" s="48"/>
      <c r="J380" s="48"/>
      <c r="K380" s="48"/>
      <c r="L380" s="48"/>
      <c r="M380" s="48"/>
      <c r="N380" s="48"/>
      <c r="O380" s="48"/>
      <c r="P380" s="48"/>
      <c r="Q380" s="48"/>
      <c r="R380" s="48"/>
      <c r="S380" s="48"/>
      <c r="T380" s="48"/>
      <c r="U380" s="48"/>
      <c r="V380" s="48"/>
    </row>
    <row r="381" spans="2:22" s="46" customFormat="1" ht="15" customHeight="1">
      <c r="B381" s="48"/>
      <c r="C381" s="48"/>
      <c r="D381" s="48"/>
      <c r="E381" s="48"/>
      <c r="F381" s="48"/>
      <c r="G381" s="48"/>
      <c r="H381" s="48"/>
      <c r="I381" s="48"/>
      <c r="J381" s="48"/>
      <c r="K381" s="48"/>
      <c r="L381" s="48"/>
      <c r="M381" s="48"/>
      <c r="N381" s="48"/>
      <c r="O381" s="48"/>
      <c r="P381" s="48"/>
      <c r="Q381" s="48"/>
      <c r="R381" s="48"/>
      <c r="S381" s="48"/>
      <c r="T381" s="48"/>
      <c r="U381" s="48"/>
      <c r="V381" s="48"/>
    </row>
    <row r="382" spans="2:22" s="46" customFormat="1" ht="15" customHeight="1">
      <c r="B382" s="48"/>
      <c r="C382" s="48"/>
      <c r="D382" s="48"/>
      <c r="E382" s="48"/>
      <c r="F382" s="48"/>
      <c r="G382" s="48"/>
      <c r="H382" s="48"/>
      <c r="I382" s="48"/>
      <c r="J382" s="48"/>
      <c r="K382" s="48"/>
      <c r="L382" s="48"/>
      <c r="M382" s="48"/>
      <c r="N382" s="48"/>
      <c r="O382" s="48"/>
      <c r="P382" s="48"/>
      <c r="Q382" s="48"/>
      <c r="R382" s="48"/>
      <c r="S382" s="48"/>
      <c r="T382" s="48"/>
      <c r="U382" s="48"/>
      <c r="V382" s="48"/>
    </row>
    <row r="383" spans="2:22" s="46" customFormat="1" ht="15" customHeight="1">
      <c r="B383" s="48"/>
      <c r="C383" s="48"/>
      <c r="D383" s="48"/>
      <c r="E383" s="48"/>
      <c r="F383" s="48"/>
      <c r="G383" s="48"/>
      <c r="H383" s="48"/>
      <c r="I383" s="48"/>
      <c r="J383" s="48"/>
      <c r="K383" s="48"/>
      <c r="L383" s="48"/>
      <c r="M383" s="48"/>
      <c r="N383" s="48"/>
      <c r="O383" s="48"/>
      <c r="P383" s="48"/>
      <c r="Q383" s="48"/>
      <c r="R383" s="48"/>
      <c r="S383" s="48"/>
      <c r="T383" s="48"/>
      <c r="U383" s="48"/>
      <c r="V383" s="48"/>
    </row>
    <row r="384" spans="2:22" s="46" customFormat="1" ht="15" customHeight="1">
      <c r="B384" s="48"/>
      <c r="C384" s="48"/>
      <c r="D384" s="48"/>
      <c r="E384" s="48"/>
      <c r="F384" s="48"/>
      <c r="G384" s="48"/>
      <c r="H384" s="48"/>
      <c r="I384" s="48"/>
      <c r="J384" s="48"/>
      <c r="K384" s="48"/>
      <c r="L384" s="48"/>
      <c r="M384" s="48"/>
      <c r="N384" s="48"/>
      <c r="O384" s="48"/>
      <c r="P384" s="48"/>
      <c r="Q384" s="48"/>
      <c r="R384" s="48"/>
      <c r="S384" s="48"/>
      <c r="T384" s="48"/>
      <c r="U384" s="48"/>
      <c r="V384" s="48"/>
    </row>
    <row r="385" spans="2:22" s="46" customFormat="1" ht="15" customHeight="1">
      <c r="B385" s="48"/>
      <c r="C385" s="48"/>
      <c r="D385" s="48"/>
      <c r="E385" s="48"/>
      <c r="F385" s="48"/>
      <c r="G385" s="48"/>
      <c r="H385" s="48"/>
      <c r="I385" s="48"/>
      <c r="J385" s="48"/>
      <c r="K385" s="48"/>
      <c r="L385" s="48"/>
      <c r="M385" s="48"/>
      <c r="N385" s="48"/>
      <c r="O385" s="48"/>
      <c r="P385" s="48"/>
      <c r="Q385" s="48"/>
      <c r="R385" s="48"/>
      <c r="S385" s="48"/>
      <c r="T385" s="48"/>
      <c r="U385" s="48"/>
      <c r="V385" s="48"/>
    </row>
    <row r="386" spans="2:22" s="46" customFormat="1" ht="15" customHeight="1">
      <c r="B386" s="48"/>
      <c r="C386" s="48"/>
      <c r="D386" s="48"/>
      <c r="E386" s="48"/>
      <c r="F386" s="48"/>
      <c r="G386" s="48"/>
      <c r="H386" s="48"/>
      <c r="I386" s="48"/>
      <c r="J386" s="48"/>
      <c r="K386" s="48"/>
      <c r="L386" s="48"/>
      <c r="M386" s="48"/>
      <c r="N386" s="48"/>
      <c r="O386" s="48"/>
      <c r="P386" s="48"/>
      <c r="Q386" s="48"/>
      <c r="R386" s="48"/>
      <c r="S386" s="48"/>
      <c r="T386" s="48"/>
      <c r="U386" s="48"/>
      <c r="V386" s="48"/>
    </row>
    <row r="387" spans="2:22" s="46" customFormat="1" ht="15" customHeight="1">
      <c r="B387" s="48"/>
      <c r="C387" s="48"/>
      <c r="D387" s="48"/>
      <c r="E387" s="48"/>
      <c r="F387" s="48"/>
      <c r="G387" s="48"/>
      <c r="H387" s="48"/>
      <c r="I387" s="48"/>
      <c r="J387" s="48"/>
      <c r="K387" s="48"/>
      <c r="L387" s="48"/>
      <c r="M387" s="48"/>
      <c r="N387" s="48"/>
      <c r="O387" s="48"/>
      <c r="P387" s="48"/>
      <c r="Q387" s="48"/>
      <c r="R387" s="48"/>
      <c r="S387" s="48"/>
      <c r="T387" s="48"/>
      <c r="U387" s="48"/>
      <c r="V387" s="48"/>
    </row>
    <row r="388" spans="2:22" s="46" customFormat="1" ht="15" customHeight="1">
      <c r="B388" s="48"/>
      <c r="C388" s="48"/>
      <c r="D388" s="48"/>
      <c r="E388" s="48"/>
      <c r="F388" s="48"/>
      <c r="G388" s="48"/>
      <c r="H388" s="48"/>
      <c r="I388" s="48"/>
      <c r="J388" s="48"/>
      <c r="K388" s="48"/>
      <c r="L388" s="48"/>
      <c r="M388" s="48"/>
      <c r="N388" s="48"/>
      <c r="O388" s="48"/>
      <c r="P388" s="48"/>
      <c r="Q388" s="48"/>
      <c r="R388" s="48"/>
      <c r="S388" s="48"/>
      <c r="T388" s="48"/>
      <c r="U388" s="48"/>
      <c r="V388" s="48"/>
    </row>
    <row r="389" spans="2:22" s="46" customFormat="1" ht="15" customHeight="1">
      <c r="B389" s="48"/>
      <c r="C389" s="48"/>
      <c r="D389" s="48"/>
      <c r="E389" s="48"/>
      <c r="F389" s="48"/>
      <c r="G389" s="48"/>
      <c r="H389" s="48"/>
      <c r="I389" s="48"/>
      <c r="J389" s="48"/>
      <c r="K389" s="48"/>
      <c r="L389" s="48"/>
      <c r="M389" s="48"/>
      <c r="N389" s="48"/>
      <c r="O389" s="48"/>
      <c r="P389" s="48"/>
      <c r="Q389" s="48"/>
      <c r="R389" s="48"/>
      <c r="S389" s="48"/>
      <c r="T389" s="48"/>
      <c r="U389" s="48"/>
      <c r="V389" s="48"/>
    </row>
    <row r="390" spans="2:22" s="46" customFormat="1" ht="15" customHeight="1">
      <c r="B390" s="48"/>
      <c r="C390" s="48"/>
      <c r="D390" s="48"/>
      <c r="E390" s="48"/>
      <c r="F390" s="48"/>
      <c r="G390" s="48"/>
      <c r="H390" s="48"/>
      <c r="I390" s="48"/>
      <c r="J390" s="48"/>
      <c r="K390" s="48"/>
      <c r="L390" s="48"/>
      <c r="M390" s="48"/>
      <c r="N390" s="48"/>
      <c r="O390" s="48"/>
      <c r="P390" s="48"/>
      <c r="Q390" s="48"/>
      <c r="R390" s="48"/>
      <c r="S390" s="48"/>
      <c r="T390" s="48"/>
      <c r="U390" s="48"/>
      <c r="V390" s="48"/>
    </row>
    <row r="391" spans="2:22" s="46" customFormat="1" ht="15" customHeight="1">
      <c r="B391" s="48"/>
      <c r="C391" s="48"/>
      <c r="D391" s="48"/>
      <c r="E391" s="48"/>
      <c r="F391" s="48"/>
      <c r="G391" s="48"/>
      <c r="H391" s="48"/>
      <c r="I391" s="48"/>
      <c r="J391" s="48"/>
      <c r="K391" s="48"/>
      <c r="L391" s="48"/>
      <c r="M391" s="48"/>
      <c r="N391" s="48"/>
      <c r="O391" s="48"/>
      <c r="P391" s="48"/>
      <c r="Q391" s="48"/>
      <c r="R391" s="48"/>
      <c r="S391" s="48"/>
      <c r="T391" s="48"/>
      <c r="U391" s="48"/>
      <c r="V391" s="48"/>
    </row>
    <row r="392" spans="2:22" s="46" customFormat="1" ht="15" customHeight="1">
      <c r="B392" s="48"/>
      <c r="C392" s="48"/>
      <c r="D392" s="48"/>
      <c r="E392" s="48"/>
      <c r="F392" s="48"/>
      <c r="G392" s="48"/>
      <c r="H392" s="48"/>
      <c r="I392" s="48"/>
      <c r="J392" s="48"/>
      <c r="K392" s="48"/>
      <c r="L392" s="48"/>
      <c r="M392" s="48"/>
      <c r="N392" s="48"/>
      <c r="O392" s="48"/>
      <c r="P392" s="48"/>
      <c r="Q392" s="48"/>
      <c r="R392" s="48"/>
      <c r="S392" s="48"/>
      <c r="T392" s="48"/>
      <c r="U392" s="48"/>
      <c r="V392" s="48"/>
    </row>
    <row r="393" spans="2:22" s="46" customFormat="1" ht="15" customHeight="1">
      <c r="B393" s="48"/>
      <c r="C393" s="48"/>
      <c r="D393" s="48"/>
      <c r="E393" s="48"/>
      <c r="F393" s="48"/>
      <c r="G393" s="48"/>
      <c r="H393" s="48"/>
      <c r="I393" s="48"/>
      <c r="J393" s="48"/>
      <c r="K393" s="48"/>
      <c r="L393" s="48"/>
      <c r="M393" s="48"/>
      <c r="N393" s="48"/>
      <c r="O393" s="48"/>
      <c r="P393" s="48"/>
      <c r="Q393" s="48"/>
      <c r="R393" s="48"/>
      <c r="S393" s="48"/>
      <c r="T393" s="48"/>
      <c r="U393" s="48"/>
      <c r="V393" s="48"/>
    </row>
    <row r="394" spans="2:22" s="46" customFormat="1" ht="15" customHeight="1">
      <c r="B394" s="48"/>
      <c r="C394" s="48"/>
      <c r="D394" s="48"/>
      <c r="E394" s="48"/>
      <c r="F394" s="48"/>
      <c r="G394" s="48"/>
      <c r="H394" s="48"/>
      <c r="I394" s="48"/>
      <c r="J394" s="48"/>
      <c r="K394" s="48"/>
      <c r="L394" s="48"/>
      <c r="M394" s="48"/>
      <c r="N394" s="48"/>
      <c r="O394" s="48"/>
      <c r="P394" s="48"/>
      <c r="Q394" s="48"/>
      <c r="R394" s="48"/>
      <c r="S394" s="48"/>
      <c r="T394" s="48"/>
      <c r="U394" s="48"/>
      <c r="V394" s="48"/>
    </row>
    <row r="395" spans="2:22" s="46" customFormat="1" ht="15" customHeight="1">
      <c r="B395" s="48"/>
      <c r="C395" s="48"/>
      <c r="D395" s="48"/>
      <c r="E395" s="48"/>
      <c r="F395" s="48"/>
      <c r="G395" s="48"/>
      <c r="H395" s="48"/>
      <c r="I395" s="48"/>
      <c r="J395" s="48"/>
      <c r="K395" s="48"/>
      <c r="L395" s="48"/>
      <c r="M395" s="48"/>
      <c r="N395" s="48"/>
      <c r="O395" s="48"/>
      <c r="P395" s="48"/>
      <c r="Q395" s="48"/>
      <c r="R395" s="48"/>
      <c r="S395" s="48"/>
      <c r="T395" s="48"/>
      <c r="U395" s="48"/>
      <c r="V395" s="48"/>
    </row>
    <row r="396" spans="2:22" s="46" customFormat="1" ht="15" customHeight="1">
      <c r="B396" s="48"/>
      <c r="C396" s="48"/>
      <c r="D396" s="48"/>
      <c r="E396" s="48"/>
      <c r="F396" s="48"/>
      <c r="G396" s="48"/>
      <c r="H396" s="48"/>
      <c r="I396" s="48"/>
      <c r="J396" s="48"/>
      <c r="K396" s="48"/>
      <c r="L396" s="48"/>
      <c r="M396" s="48"/>
      <c r="N396" s="48"/>
      <c r="O396" s="48"/>
      <c r="P396" s="48"/>
      <c r="Q396" s="48"/>
      <c r="R396" s="48"/>
      <c r="S396" s="48"/>
      <c r="T396" s="48"/>
      <c r="U396" s="48"/>
      <c r="V396" s="48"/>
    </row>
    <row r="397" spans="2:22" s="46" customFormat="1" ht="15" customHeight="1">
      <c r="B397" s="48"/>
      <c r="C397" s="48"/>
      <c r="D397" s="48"/>
      <c r="E397" s="48"/>
      <c r="F397" s="48"/>
      <c r="G397" s="48"/>
      <c r="H397" s="48"/>
      <c r="I397" s="48"/>
      <c r="J397" s="48"/>
      <c r="K397" s="48"/>
      <c r="L397" s="48"/>
      <c r="M397" s="48"/>
      <c r="N397" s="48"/>
      <c r="O397" s="48"/>
      <c r="P397" s="48"/>
      <c r="Q397" s="48"/>
      <c r="R397" s="48"/>
      <c r="S397" s="48"/>
      <c r="T397" s="48"/>
      <c r="U397" s="48"/>
      <c r="V397" s="48"/>
    </row>
    <row r="398" spans="2:22" s="46" customFormat="1" ht="15" customHeight="1">
      <c r="B398" s="48"/>
      <c r="C398" s="48"/>
      <c r="D398" s="48"/>
      <c r="E398" s="48"/>
      <c r="F398" s="48"/>
      <c r="G398" s="48"/>
      <c r="H398" s="48"/>
      <c r="I398" s="48"/>
      <c r="J398" s="48"/>
      <c r="K398" s="48"/>
      <c r="L398" s="48"/>
      <c r="M398" s="48"/>
      <c r="N398" s="48"/>
      <c r="O398" s="48"/>
      <c r="P398" s="48"/>
      <c r="Q398" s="48"/>
      <c r="R398" s="48"/>
      <c r="S398" s="48"/>
      <c r="T398" s="48"/>
      <c r="U398" s="48"/>
      <c r="V398" s="48"/>
    </row>
    <row r="399" spans="2:22" s="46" customFormat="1" ht="15" customHeight="1">
      <c r="B399" s="48"/>
      <c r="C399" s="48"/>
      <c r="D399" s="48"/>
      <c r="E399" s="48"/>
      <c r="F399" s="48"/>
      <c r="G399" s="48"/>
      <c r="H399" s="48"/>
      <c r="I399" s="48"/>
      <c r="J399" s="48"/>
      <c r="K399" s="48"/>
      <c r="L399" s="48"/>
      <c r="M399" s="48"/>
      <c r="N399" s="48"/>
      <c r="O399" s="48"/>
      <c r="P399" s="48"/>
      <c r="Q399" s="48"/>
      <c r="R399" s="48"/>
      <c r="S399" s="48"/>
      <c r="T399" s="48"/>
      <c r="U399" s="48"/>
      <c r="V399" s="48"/>
    </row>
    <row r="400" spans="2:22" s="46" customFormat="1" ht="15" customHeight="1">
      <c r="B400" s="48"/>
      <c r="C400" s="48"/>
      <c r="D400" s="48"/>
      <c r="E400" s="48"/>
      <c r="F400" s="48"/>
      <c r="G400" s="48"/>
      <c r="H400" s="48"/>
      <c r="I400" s="48"/>
      <c r="J400" s="48"/>
      <c r="K400" s="48"/>
      <c r="L400" s="48"/>
      <c r="M400" s="48"/>
      <c r="N400" s="48"/>
      <c r="O400" s="48"/>
      <c r="P400" s="48"/>
      <c r="Q400" s="48"/>
      <c r="R400" s="48"/>
      <c r="S400" s="48"/>
      <c r="T400" s="48"/>
      <c r="U400" s="48"/>
      <c r="V400" s="48"/>
    </row>
    <row r="401" spans="2:22" s="46" customFormat="1" ht="15" customHeight="1">
      <c r="B401" s="48"/>
      <c r="C401" s="48"/>
      <c r="D401" s="48"/>
      <c r="E401" s="48"/>
      <c r="F401" s="48"/>
      <c r="G401" s="48"/>
      <c r="H401" s="48"/>
      <c r="I401" s="48"/>
      <c r="J401" s="48"/>
      <c r="K401" s="48"/>
      <c r="L401" s="48"/>
      <c r="M401" s="48"/>
      <c r="N401" s="48"/>
      <c r="O401" s="48"/>
      <c r="P401" s="48"/>
      <c r="Q401" s="48"/>
      <c r="R401" s="48"/>
      <c r="S401" s="48"/>
      <c r="T401" s="48"/>
      <c r="U401" s="48"/>
      <c r="V401" s="48"/>
    </row>
    <row r="402" spans="2:22" s="46" customFormat="1" ht="15" customHeight="1">
      <c r="B402" s="48"/>
      <c r="C402" s="48"/>
      <c r="D402" s="48"/>
      <c r="E402" s="48"/>
      <c r="F402" s="48"/>
      <c r="G402" s="48"/>
      <c r="H402" s="48"/>
      <c r="I402" s="48"/>
      <c r="J402" s="48"/>
      <c r="K402" s="48"/>
      <c r="L402" s="48"/>
      <c r="M402" s="48"/>
      <c r="N402" s="48"/>
      <c r="O402" s="48"/>
      <c r="P402" s="48"/>
      <c r="Q402" s="48"/>
      <c r="R402" s="48"/>
      <c r="S402" s="48"/>
      <c r="T402" s="48"/>
      <c r="U402" s="48"/>
      <c r="V402" s="48"/>
    </row>
    <row r="403" spans="2:22" s="46" customFormat="1" ht="15" customHeight="1">
      <c r="B403" s="48"/>
      <c r="C403" s="48"/>
      <c r="D403" s="48"/>
      <c r="E403" s="48"/>
      <c r="F403" s="48"/>
      <c r="G403" s="48"/>
      <c r="H403" s="48"/>
      <c r="I403" s="48"/>
      <c r="J403" s="48"/>
      <c r="K403" s="48"/>
      <c r="L403" s="48"/>
      <c r="M403" s="48"/>
      <c r="N403" s="48"/>
      <c r="O403" s="48"/>
      <c r="P403" s="48"/>
      <c r="Q403" s="48"/>
      <c r="R403" s="48"/>
      <c r="S403" s="48"/>
      <c r="T403" s="48"/>
      <c r="U403" s="48"/>
      <c r="V403" s="48"/>
    </row>
    <row r="404" spans="2:22" s="46" customFormat="1" ht="15" customHeight="1">
      <c r="B404" s="48"/>
      <c r="C404" s="48"/>
      <c r="D404" s="48"/>
      <c r="E404" s="48"/>
      <c r="F404" s="48"/>
      <c r="G404" s="48"/>
      <c r="H404" s="48"/>
      <c r="I404" s="48"/>
      <c r="J404" s="48"/>
      <c r="K404" s="48"/>
      <c r="L404" s="48"/>
      <c r="M404" s="48"/>
      <c r="N404" s="48"/>
      <c r="O404" s="48"/>
      <c r="P404" s="48"/>
      <c r="Q404" s="48"/>
      <c r="R404" s="48"/>
      <c r="S404" s="48"/>
      <c r="T404" s="48"/>
      <c r="U404" s="48"/>
      <c r="V404" s="48"/>
    </row>
    <row r="405" spans="2:22" s="46" customFormat="1" ht="15" customHeight="1">
      <c r="B405" s="48"/>
      <c r="C405" s="48"/>
      <c r="D405" s="48"/>
      <c r="E405" s="48"/>
      <c r="F405" s="48"/>
      <c r="G405" s="48"/>
      <c r="H405" s="48"/>
      <c r="I405" s="48"/>
      <c r="J405" s="48"/>
      <c r="K405" s="48"/>
      <c r="L405" s="48"/>
      <c r="M405" s="48"/>
      <c r="N405" s="48"/>
      <c r="O405" s="48"/>
      <c r="P405" s="48"/>
      <c r="Q405" s="48"/>
      <c r="R405" s="48"/>
      <c r="S405" s="48"/>
      <c r="T405" s="48"/>
      <c r="U405" s="48"/>
      <c r="V405" s="48"/>
    </row>
    <row r="406" spans="2:22" s="46" customFormat="1" ht="15" customHeight="1">
      <c r="B406" s="48"/>
      <c r="C406" s="48"/>
      <c r="D406" s="48"/>
      <c r="E406" s="48"/>
      <c r="F406" s="48"/>
      <c r="G406" s="48"/>
      <c r="H406" s="48"/>
      <c r="I406" s="48"/>
      <c r="J406" s="48"/>
      <c r="K406" s="48"/>
      <c r="L406" s="48"/>
      <c r="M406" s="48"/>
      <c r="N406" s="48"/>
      <c r="O406" s="48"/>
      <c r="P406" s="48"/>
      <c r="Q406" s="48"/>
      <c r="R406" s="48"/>
      <c r="S406" s="48"/>
      <c r="T406" s="48"/>
      <c r="U406" s="48"/>
      <c r="V406" s="48"/>
    </row>
    <row r="407" spans="2:22" s="46" customFormat="1" ht="15" customHeight="1">
      <c r="B407" s="48"/>
      <c r="C407" s="48"/>
      <c r="D407" s="48"/>
      <c r="E407" s="48"/>
      <c r="F407" s="48"/>
      <c r="G407" s="48"/>
      <c r="H407" s="48"/>
      <c r="I407" s="48"/>
      <c r="J407" s="48"/>
      <c r="K407" s="48"/>
      <c r="L407" s="48"/>
      <c r="M407" s="48"/>
      <c r="N407" s="48"/>
      <c r="O407" s="48"/>
      <c r="P407" s="48"/>
      <c r="Q407" s="48"/>
      <c r="R407" s="48"/>
      <c r="S407" s="48"/>
      <c r="T407" s="48"/>
      <c r="U407" s="48"/>
      <c r="V407" s="48"/>
    </row>
    <row r="408" spans="2:22" s="46" customFormat="1" ht="15" customHeight="1">
      <c r="B408" s="48"/>
      <c r="C408" s="48"/>
      <c r="D408" s="48"/>
      <c r="E408" s="48"/>
      <c r="F408" s="48"/>
      <c r="G408" s="48"/>
      <c r="H408" s="48"/>
      <c r="I408" s="48"/>
      <c r="J408" s="48"/>
      <c r="K408" s="48"/>
      <c r="L408" s="48"/>
      <c r="M408" s="48"/>
      <c r="N408" s="48"/>
      <c r="O408" s="48"/>
      <c r="P408" s="48"/>
      <c r="Q408" s="48"/>
      <c r="R408" s="48"/>
      <c r="S408" s="48"/>
      <c r="T408" s="48"/>
      <c r="U408" s="48"/>
      <c r="V408" s="48"/>
    </row>
    <row r="409" spans="2:22" s="46" customFormat="1" ht="15" customHeight="1">
      <c r="B409" s="48"/>
      <c r="C409" s="48"/>
      <c r="D409" s="48"/>
      <c r="E409" s="48"/>
      <c r="F409" s="48"/>
      <c r="G409" s="48"/>
      <c r="H409" s="48"/>
      <c r="I409" s="48"/>
      <c r="J409" s="48"/>
      <c r="K409" s="48"/>
      <c r="L409" s="48"/>
      <c r="M409" s="48"/>
      <c r="N409" s="48"/>
      <c r="O409" s="48"/>
      <c r="P409" s="48"/>
      <c r="Q409" s="48"/>
      <c r="R409" s="48"/>
      <c r="S409" s="48"/>
      <c r="T409" s="48"/>
      <c r="U409" s="48"/>
      <c r="V409" s="48"/>
    </row>
    <row r="410" spans="2:22" s="46" customFormat="1" ht="15" customHeight="1">
      <c r="B410" s="48"/>
      <c r="C410" s="48"/>
      <c r="D410" s="48"/>
      <c r="E410" s="48"/>
      <c r="F410" s="48"/>
      <c r="G410" s="48"/>
      <c r="H410" s="48"/>
      <c r="I410" s="48"/>
      <c r="J410" s="48"/>
      <c r="K410" s="48"/>
      <c r="L410" s="48"/>
      <c r="M410" s="48"/>
      <c r="N410" s="48"/>
      <c r="O410" s="48"/>
      <c r="P410" s="48"/>
      <c r="Q410" s="48"/>
      <c r="R410" s="48"/>
      <c r="S410" s="48"/>
      <c r="T410" s="48"/>
      <c r="U410" s="48"/>
      <c r="V410" s="48"/>
    </row>
    <row r="411" spans="2:22" s="46" customFormat="1" ht="15" customHeight="1">
      <c r="B411" s="48"/>
      <c r="C411" s="48"/>
      <c r="D411" s="48"/>
      <c r="E411" s="48"/>
      <c r="F411" s="48"/>
      <c r="G411" s="48"/>
      <c r="H411" s="48"/>
      <c r="I411" s="48"/>
      <c r="J411" s="48"/>
      <c r="K411" s="48"/>
      <c r="L411" s="48"/>
      <c r="M411" s="48"/>
      <c r="N411" s="48"/>
      <c r="O411" s="48"/>
      <c r="P411" s="48"/>
      <c r="Q411" s="48"/>
      <c r="R411" s="48"/>
      <c r="S411" s="48"/>
      <c r="T411" s="48"/>
      <c r="U411" s="48"/>
      <c r="V411" s="48"/>
    </row>
    <row r="412" spans="2:22" s="46" customFormat="1" ht="15" customHeight="1">
      <c r="B412" s="48"/>
      <c r="C412" s="48"/>
      <c r="D412" s="48"/>
      <c r="E412" s="48"/>
      <c r="F412" s="48"/>
      <c r="G412" s="48"/>
      <c r="H412" s="48"/>
      <c r="I412" s="48"/>
      <c r="J412" s="48"/>
      <c r="K412" s="48"/>
      <c r="L412" s="48"/>
      <c r="M412" s="48"/>
      <c r="N412" s="48"/>
      <c r="O412" s="48"/>
      <c r="P412" s="48"/>
      <c r="Q412" s="48"/>
      <c r="R412" s="48"/>
      <c r="S412" s="48"/>
      <c r="T412" s="48"/>
      <c r="U412" s="48"/>
      <c r="V412" s="48"/>
    </row>
    <row r="413" spans="2:22" s="46" customFormat="1" ht="15" customHeight="1">
      <c r="B413" s="48"/>
      <c r="C413" s="48"/>
      <c r="D413" s="48"/>
      <c r="E413" s="48"/>
      <c r="F413" s="48"/>
      <c r="G413" s="48"/>
      <c r="H413" s="48"/>
      <c r="I413" s="48"/>
      <c r="J413" s="48"/>
      <c r="K413" s="48"/>
      <c r="L413" s="48"/>
      <c r="M413" s="48"/>
      <c r="N413" s="48"/>
      <c r="O413" s="48"/>
      <c r="P413" s="48"/>
      <c r="Q413" s="48"/>
      <c r="R413" s="48"/>
      <c r="S413" s="48"/>
      <c r="T413" s="48"/>
      <c r="U413" s="48"/>
      <c r="V413" s="48"/>
    </row>
    <row r="414" spans="2:22" s="46" customFormat="1" ht="15" customHeight="1">
      <c r="B414" s="48"/>
      <c r="C414" s="48"/>
      <c r="D414" s="48"/>
      <c r="E414" s="48"/>
      <c r="F414" s="48"/>
      <c r="G414" s="48"/>
      <c r="H414" s="48"/>
      <c r="I414" s="48"/>
      <c r="J414" s="48"/>
      <c r="K414" s="48"/>
      <c r="L414" s="48"/>
      <c r="M414" s="48"/>
      <c r="N414" s="48"/>
      <c r="O414" s="48"/>
      <c r="P414" s="48"/>
      <c r="Q414" s="48"/>
      <c r="R414" s="48"/>
      <c r="S414" s="48"/>
      <c r="T414" s="48"/>
      <c r="U414" s="48"/>
      <c r="V414" s="48"/>
    </row>
    <row r="415" spans="2:22" s="46" customFormat="1" ht="15" customHeight="1">
      <c r="B415" s="48"/>
      <c r="C415" s="48"/>
      <c r="D415" s="48"/>
      <c r="E415" s="48"/>
      <c r="F415" s="48"/>
      <c r="G415" s="48"/>
      <c r="H415" s="48"/>
      <c r="I415" s="48"/>
      <c r="J415" s="48"/>
      <c r="K415" s="48"/>
      <c r="L415" s="48"/>
      <c r="M415" s="48"/>
      <c r="N415" s="48"/>
      <c r="O415" s="48"/>
      <c r="P415" s="48"/>
      <c r="Q415" s="48"/>
      <c r="R415" s="48"/>
      <c r="S415" s="48"/>
      <c r="T415" s="48"/>
      <c r="U415" s="48"/>
      <c r="V415" s="48"/>
    </row>
    <row r="416" spans="2:22" s="46" customFormat="1" ht="15" customHeight="1">
      <c r="B416" s="48"/>
      <c r="C416" s="48"/>
      <c r="D416" s="48"/>
      <c r="E416" s="48"/>
      <c r="F416" s="48"/>
      <c r="G416" s="48"/>
      <c r="H416" s="48"/>
      <c r="I416" s="48"/>
      <c r="J416" s="48"/>
      <c r="K416" s="48"/>
      <c r="L416" s="48"/>
      <c r="M416" s="48"/>
      <c r="N416" s="48"/>
      <c r="O416" s="48"/>
      <c r="P416" s="48"/>
      <c r="Q416" s="48"/>
      <c r="R416" s="48"/>
      <c r="S416" s="48"/>
      <c r="T416" s="48"/>
      <c r="U416" s="48"/>
      <c r="V416" s="48"/>
    </row>
    <row r="417" spans="2:22" s="46" customFormat="1" ht="15" customHeight="1">
      <c r="B417" s="48"/>
      <c r="C417" s="48"/>
      <c r="D417" s="48"/>
      <c r="E417" s="48"/>
      <c r="F417" s="48"/>
      <c r="G417" s="48"/>
      <c r="H417" s="48"/>
      <c r="I417" s="48"/>
      <c r="J417" s="48"/>
      <c r="K417" s="48"/>
      <c r="L417" s="48"/>
      <c r="M417" s="48"/>
      <c r="N417" s="48"/>
      <c r="O417" s="48"/>
      <c r="P417" s="48"/>
      <c r="Q417" s="48"/>
      <c r="R417" s="48"/>
      <c r="S417" s="48"/>
      <c r="T417" s="48"/>
      <c r="U417" s="48"/>
      <c r="V417" s="48"/>
    </row>
    <row r="418" spans="2:22" s="46" customFormat="1" ht="15" customHeight="1">
      <c r="B418" s="48"/>
      <c r="C418" s="48"/>
      <c r="D418" s="48"/>
      <c r="E418" s="48"/>
      <c r="F418" s="48"/>
      <c r="G418" s="48"/>
      <c r="H418" s="48"/>
      <c r="I418" s="48"/>
      <c r="J418" s="48"/>
      <c r="K418" s="48"/>
      <c r="L418" s="48"/>
      <c r="M418" s="48"/>
      <c r="N418" s="48"/>
      <c r="O418" s="48"/>
      <c r="P418" s="48"/>
      <c r="Q418" s="48"/>
      <c r="R418" s="48"/>
      <c r="S418" s="48"/>
      <c r="T418" s="48"/>
      <c r="U418" s="48"/>
      <c r="V418" s="48"/>
    </row>
    <row r="419" spans="2:22" s="46" customFormat="1" ht="15" customHeight="1">
      <c r="B419" s="48"/>
      <c r="C419" s="48"/>
      <c r="D419" s="48"/>
      <c r="E419" s="48"/>
      <c r="F419" s="48"/>
      <c r="G419" s="48"/>
      <c r="H419" s="48"/>
      <c r="I419" s="48"/>
      <c r="J419" s="48"/>
      <c r="K419" s="48"/>
      <c r="L419" s="48"/>
      <c r="M419" s="48"/>
      <c r="N419" s="48"/>
      <c r="O419" s="48"/>
      <c r="P419" s="48"/>
      <c r="Q419" s="48"/>
      <c r="R419" s="48"/>
      <c r="S419" s="48"/>
      <c r="T419" s="48"/>
      <c r="U419" s="48"/>
      <c r="V419" s="48"/>
    </row>
    <row r="420" spans="2:22" s="46" customFormat="1" ht="15" customHeight="1">
      <c r="B420" s="48"/>
      <c r="C420" s="48"/>
      <c r="D420" s="48"/>
      <c r="E420" s="48"/>
      <c r="F420" s="48"/>
      <c r="G420" s="48"/>
      <c r="H420" s="48"/>
      <c r="I420" s="48"/>
      <c r="J420" s="48"/>
      <c r="K420" s="48"/>
      <c r="L420" s="48"/>
      <c r="M420" s="48"/>
      <c r="N420" s="48"/>
      <c r="O420" s="48"/>
      <c r="P420" s="48"/>
      <c r="Q420" s="48"/>
      <c r="R420" s="48"/>
      <c r="S420" s="48"/>
      <c r="T420" s="48"/>
      <c r="U420" s="48"/>
      <c r="V420" s="48"/>
    </row>
    <row r="421" spans="2:22" s="46" customFormat="1" ht="15" customHeight="1">
      <c r="B421" s="48"/>
      <c r="C421" s="48"/>
      <c r="D421" s="48"/>
      <c r="E421" s="48"/>
      <c r="F421" s="48"/>
      <c r="G421" s="48"/>
      <c r="H421" s="48"/>
      <c r="I421" s="48"/>
      <c r="J421" s="48"/>
      <c r="K421" s="48"/>
      <c r="L421" s="48"/>
      <c r="M421" s="48"/>
      <c r="N421" s="48"/>
      <c r="O421" s="48"/>
      <c r="P421" s="48"/>
      <c r="Q421" s="48"/>
      <c r="R421" s="48"/>
      <c r="S421" s="48"/>
      <c r="T421" s="48"/>
      <c r="U421" s="48"/>
      <c r="V421" s="48"/>
    </row>
    <row r="422" spans="2:22" s="46" customFormat="1" ht="15" customHeight="1">
      <c r="B422" s="48"/>
      <c r="C422" s="48"/>
      <c r="D422" s="48"/>
      <c r="E422" s="48"/>
      <c r="F422" s="48"/>
      <c r="G422" s="48"/>
      <c r="H422" s="48"/>
      <c r="I422" s="48"/>
      <c r="J422" s="48"/>
      <c r="K422" s="48"/>
      <c r="L422" s="48"/>
      <c r="M422" s="48"/>
      <c r="N422" s="48"/>
      <c r="O422" s="48"/>
      <c r="P422" s="48"/>
      <c r="Q422" s="48"/>
      <c r="R422" s="48"/>
      <c r="S422" s="48"/>
      <c r="T422" s="48"/>
      <c r="U422" s="48"/>
      <c r="V422" s="48"/>
    </row>
    <row r="423" spans="2:22" s="46" customFormat="1" ht="15" customHeight="1">
      <c r="B423" s="48"/>
      <c r="C423" s="48"/>
      <c r="D423" s="48"/>
      <c r="E423" s="48"/>
      <c r="F423" s="48"/>
      <c r="G423" s="48"/>
      <c r="H423" s="48"/>
      <c r="I423" s="48"/>
      <c r="J423" s="48"/>
      <c r="K423" s="48"/>
      <c r="L423" s="48"/>
      <c r="M423" s="48"/>
      <c r="N423" s="48"/>
      <c r="O423" s="48"/>
      <c r="P423" s="48"/>
      <c r="Q423" s="48"/>
      <c r="R423" s="48"/>
      <c r="S423" s="48"/>
      <c r="T423" s="48"/>
      <c r="U423" s="48"/>
      <c r="V423" s="48"/>
    </row>
    <row r="424" spans="2:22" s="46" customFormat="1" ht="15" customHeight="1">
      <c r="B424" s="48"/>
      <c r="C424" s="48"/>
      <c r="D424" s="48"/>
      <c r="E424" s="48"/>
      <c r="F424" s="48"/>
      <c r="G424" s="48"/>
      <c r="H424" s="48"/>
      <c r="I424" s="48"/>
      <c r="J424" s="48"/>
      <c r="K424" s="48"/>
      <c r="L424" s="48"/>
      <c r="M424" s="48"/>
      <c r="N424" s="48"/>
      <c r="O424" s="48"/>
      <c r="P424" s="48"/>
      <c r="Q424" s="48"/>
      <c r="R424" s="48"/>
      <c r="S424" s="48"/>
      <c r="T424" s="48"/>
      <c r="U424" s="48"/>
      <c r="V424" s="48"/>
    </row>
    <row r="425" spans="2:22" s="46" customFormat="1" ht="15" customHeight="1">
      <c r="B425" s="48"/>
      <c r="C425" s="48"/>
      <c r="D425" s="48"/>
      <c r="E425" s="48"/>
      <c r="F425" s="48"/>
      <c r="G425" s="48"/>
      <c r="H425" s="48"/>
      <c r="I425" s="48"/>
      <c r="J425" s="48"/>
      <c r="K425" s="48"/>
      <c r="L425" s="48"/>
      <c r="M425" s="48"/>
      <c r="N425" s="48"/>
      <c r="O425" s="48"/>
      <c r="P425" s="48"/>
      <c r="Q425" s="48"/>
      <c r="R425" s="48"/>
      <c r="S425" s="48"/>
      <c r="T425" s="48"/>
      <c r="U425" s="48"/>
      <c r="V425" s="48"/>
    </row>
    <row r="426" spans="2:22" s="46" customFormat="1" ht="15" customHeight="1">
      <c r="B426" s="48"/>
      <c r="C426" s="48"/>
      <c r="D426" s="48"/>
      <c r="E426" s="48"/>
      <c r="F426" s="48"/>
      <c r="G426" s="48"/>
      <c r="H426" s="48"/>
      <c r="I426" s="48"/>
      <c r="J426" s="48"/>
      <c r="K426" s="48"/>
      <c r="L426" s="48"/>
      <c r="M426" s="48"/>
      <c r="N426" s="48"/>
      <c r="O426" s="48"/>
      <c r="P426" s="48"/>
      <c r="Q426" s="48"/>
      <c r="R426" s="48"/>
      <c r="S426" s="48"/>
      <c r="T426" s="48"/>
      <c r="U426" s="48"/>
      <c r="V426" s="48"/>
    </row>
    <row r="427" spans="2:22" s="46" customFormat="1" ht="15" customHeight="1">
      <c r="B427" s="48"/>
      <c r="C427" s="48"/>
      <c r="D427" s="48"/>
      <c r="E427" s="48"/>
      <c r="F427" s="48"/>
      <c r="G427" s="48"/>
      <c r="H427" s="48"/>
      <c r="I427" s="48"/>
      <c r="J427" s="48"/>
      <c r="K427" s="48"/>
      <c r="L427" s="48"/>
      <c r="M427" s="48"/>
      <c r="N427" s="48"/>
      <c r="O427" s="48"/>
      <c r="P427" s="48"/>
      <c r="Q427" s="48"/>
      <c r="R427" s="48"/>
      <c r="S427" s="48"/>
      <c r="T427" s="48"/>
      <c r="U427" s="48"/>
      <c r="V427" s="48"/>
    </row>
    <row r="428" spans="2:22" s="46" customFormat="1" ht="15" customHeight="1">
      <c r="B428" s="48"/>
      <c r="C428" s="48"/>
      <c r="D428" s="48"/>
      <c r="E428" s="48"/>
      <c r="F428" s="48"/>
      <c r="G428" s="48"/>
      <c r="H428" s="48"/>
      <c r="I428" s="48"/>
      <c r="J428" s="48"/>
      <c r="K428" s="48"/>
      <c r="L428" s="48"/>
      <c r="M428" s="48"/>
      <c r="N428" s="48"/>
      <c r="O428" s="48"/>
      <c r="P428" s="48"/>
      <c r="Q428" s="48"/>
      <c r="R428" s="48"/>
      <c r="S428" s="48"/>
      <c r="T428" s="48"/>
      <c r="U428" s="48"/>
      <c r="V428" s="48"/>
    </row>
    <row r="429" spans="2:22" s="46" customFormat="1" ht="15" customHeight="1">
      <c r="B429" s="48"/>
      <c r="C429" s="48"/>
      <c r="D429" s="48"/>
      <c r="E429" s="48"/>
      <c r="F429" s="48"/>
      <c r="G429" s="48"/>
      <c r="H429" s="48"/>
      <c r="I429" s="48"/>
      <c r="J429" s="48"/>
      <c r="K429" s="48"/>
      <c r="L429" s="48"/>
      <c r="M429" s="48"/>
      <c r="N429" s="48"/>
      <c r="O429" s="48"/>
      <c r="P429" s="48"/>
      <c r="Q429" s="48"/>
      <c r="R429" s="48"/>
      <c r="S429" s="48"/>
      <c r="T429" s="48"/>
      <c r="U429" s="48"/>
      <c r="V429" s="48"/>
    </row>
    <row r="430" spans="2:22" s="46" customFormat="1" ht="15" customHeight="1">
      <c r="B430" s="48"/>
      <c r="C430" s="48"/>
      <c r="D430" s="48"/>
      <c r="E430" s="48"/>
      <c r="F430" s="48"/>
      <c r="G430" s="48"/>
      <c r="H430" s="48"/>
      <c r="I430" s="48"/>
      <c r="J430" s="48"/>
      <c r="K430" s="48"/>
      <c r="L430" s="48"/>
      <c r="M430" s="48"/>
      <c r="N430" s="48"/>
      <c r="O430" s="48"/>
      <c r="P430" s="48"/>
      <c r="Q430" s="48"/>
      <c r="R430" s="48"/>
      <c r="S430" s="48"/>
      <c r="T430" s="48"/>
      <c r="U430" s="48"/>
      <c r="V430" s="48"/>
    </row>
    <row r="431" spans="2:22" s="46" customFormat="1" ht="15" customHeight="1">
      <c r="B431" s="48"/>
      <c r="C431" s="48"/>
      <c r="D431" s="48"/>
      <c r="E431" s="48"/>
      <c r="F431" s="48"/>
      <c r="G431" s="48"/>
      <c r="H431" s="48"/>
      <c r="I431" s="48"/>
      <c r="J431" s="48"/>
      <c r="K431" s="48"/>
      <c r="L431" s="48"/>
      <c r="M431" s="48"/>
      <c r="N431" s="48"/>
      <c r="O431" s="48"/>
      <c r="P431" s="48"/>
      <c r="Q431" s="48"/>
      <c r="R431" s="48"/>
      <c r="S431" s="48"/>
      <c r="T431" s="48"/>
      <c r="U431" s="48"/>
      <c r="V431" s="48"/>
    </row>
    <row r="432" spans="2:22" s="46" customFormat="1" ht="15" customHeight="1">
      <c r="B432" s="48"/>
      <c r="C432" s="48"/>
      <c r="D432" s="48"/>
      <c r="E432" s="48"/>
      <c r="F432" s="48"/>
      <c r="G432" s="48"/>
      <c r="H432" s="48"/>
      <c r="I432" s="48"/>
      <c r="J432" s="48"/>
      <c r="K432" s="48"/>
      <c r="L432" s="48"/>
      <c r="M432" s="48"/>
      <c r="N432" s="48"/>
      <c r="O432" s="48"/>
      <c r="P432" s="48"/>
      <c r="Q432" s="48"/>
      <c r="R432" s="48"/>
      <c r="S432" s="48"/>
      <c r="T432" s="48"/>
      <c r="U432" s="48"/>
      <c r="V432" s="48"/>
    </row>
    <row r="433" spans="2:22" s="46" customFormat="1" ht="15" customHeight="1">
      <c r="B433" s="48"/>
      <c r="C433" s="48"/>
      <c r="D433" s="48"/>
      <c r="E433" s="48"/>
      <c r="F433" s="48"/>
      <c r="G433" s="48"/>
      <c r="H433" s="48"/>
      <c r="I433" s="48"/>
      <c r="J433" s="48"/>
      <c r="K433" s="48"/>
      <c r="L433" s="48"/>
      <c r="M433" s="48"/>
      <c r="N433" s="48"/>
      <c r="O433" s="48"/>
      <c r="P433" s="48"/>
      <c r="Q433" s="48"/>
      <c r="R433" s="48"/>
      <c r="S433" s="48"/>
      <c r="T433" s="48"/>
      <c r="U433" s="48"/>
      <c r="V433" s="48"/>
    </row>
    <row r="434" spans="2:22" s="46" customFormat="1" ht="15" customHeight="1">
      <c r="B434" s="48"/>
      <c r="C434" s="48"/>
      <c r="D434" s="48"/>
      <c r="E434" s="48"/>
      <c r="F434" s="48"/>
      <c r="G434" s="48"/>
      <c r="H434" s="48"/>
      <c r="I434" s="48"/>
      <c r="J434" s="48"/>
      <c r="K434" s="48"/>
      <c r="L434" s="48"/>
      <c r="M434" s="48"/>
      <c r="N434" s="48"/>
      <c r="O434" s="48"/>
      <c r="P434" s="48"/>
      <c r="Q434" s="48"/>
      <c r="R434" s="48"/>
      <c r="S434" s="48"/>
      <c r="T434" s="48"/>
      <c r="U434" s="48"/>
      <c r="V434" s="48"/>
    </row>
    <row r="435" spans="2:22" s="46" customFormat="1" ht="15" customHeight="1">
      <c r="B435" s="48"/>
      <c r="C435" s="48"/>
      <c r="D435" s="48"/>
      <c r="E435" s="48"/>
      <c r="F435" s="48"/>
      <c r="G435" s="48"/>
      <c r="H435" s="48"/>
      <c r="I435" s="48"/>
      <c r="J435" s="48"/>
      <c r="K435" s="48"/>
      <c r="L435" s="48"/>
      <c r="M435" s="48"/>
      <c r="N435" s="48"/>
      <c r="O435" s="48"/>
      <c r="P435" s="48"/>
      <c r="Q435" s="48"/>
      <c r="R435" s="48"/>
      <c r="S435" s="48"/>
      <c r="T435" s="48"/>
      <c r="U435" s="48"/>
      <c r="V435" s="48"/>
    </row>
    <row r="436" spans="2:22" s="46" customFormat="1" ht="15" customHeight="1">
      <c r="B436" s="48"/>
      <c r="C436" s="48"/>
      <c r="D436" s="48"/>
      <c r="E436" s="48"/>
      <c r="F436" s="48"/>
      <c r="G436" s="48"/>
      <c r="H436" s="48"/>
      <c r="I436" s="48"/>
      <c r="J436" s="48"/>
      <c r="K436" s="48"/>
      <c r="L436" s="48"/>
      <c r="M436" s="48"/>
      <c r="N436" s="48"/>
      <c r="O436" s="48"/>
      <c r="P436" s="48"/>
      <c r="Q436" s="48"/>
      <c r="R436" s="48"/>
      <c r="S436" s="48"/>
      <c r="T436" s="48"/>
      <c r="U436" s="48"/>
      <c r="V436" s="48"/>
    </row>
    <row r="437" spans="2:22" s="46" customFormat="1" ht="15" customHeight="1">
      <c r="B437" s="48"/>
      <c r="C437" s="48"/>
      <c r="D437" s="48"/>
      <c r="E437" s="48"/>
      <c r="F437" s="48"/>
      <c r="G437" s="48"/>
      <c r="H437" s="48"/>
      <c r="I437" s="48"/>
      <c r="J437" s="48"/>
      <c r="K437" s="48"/>
      <c r="L437" s="48"/>
      <c r="M437" s="48"/>
      <c r="N437" s="48"/>
      <c r="O437" s="48"/>
      <c r="P437" s="48"/>
      <c r="Q437" s="48"/>
      <c r="R437" s="48"/>
      <c r="S437" s="48"/>
      <c r="T437" s="48"/>
      <c r="U437" s="48"/>
      <c r="V437" s="48"/>
    </row>
    <row r="438" spans="2:22" s="46" customFormat="1" ht="15" customHeight="1">
      <c r="B438" s="48"/>
      <c r="C438" s="48"/>
      <c r="D438" s="48"/>
      <c r="E438" s="48"/>
      <c r="F438" s="48"/>
      <c r="G438" s="48"/>
      <c r="H438" s="48"/>
      <c r="I438" s="48"/>
      <c r="J438" s="48"/>
      <c r="K438" s="48"/>
      <c r="L438" s="48"/>
      <c r="M438" s="48"/>
      <c r="N438" s="48"/>
      <c r="O438" s="48"/>
      <c r="P438" s="48"/>
      <c r="Q438" s="48"/>
      <c r="R438" s="48"/>
      <c r="S438" s="48"/>
      <c r="T438" s="48"/>
      <c r="U438" s="48"/>
      <c r="V438" s="48"/>
    </row>
    <row r="439" spans="2:22" s="46" customFormat="1" ht="15" customHeight="1">
      <c r="B439" s="48"/>
      <c r="C439" s="48"/>
      <c r="D439" s="48"/>
      <c r="E439" s="48"/>
      <c r="F439" s="48"/>
      <c r="G439" s="48"/>
      <c r="H439" s="48"/>
      <c r="I439" s="48"/>
      <c r="J439" s="48"/>
      <c r="K439" s="48"/>
      <c r="L439" s="48"/>
      <c r="M439" s="48"/>
      <c r="N439" s="48"/>
      <c r="O439" s="48"/>
      <c r="P439" s="48"/>
      <c r="Q439" s="48"/>
      <c r="R439" s="48"/>
      <c r="S439" s="48"/>
      <c r="T439" s="48"/>
      <c r="U439" s="48"/>
      <c r="V439" s="48"/>
    </row>
    <row r="440" spans="2:22" s="46" customFormat="1" ht="15" customHeight="1">
      <c r="B440" s="48"/>
      <c r="C440" s="48"/>
      <c r="D440" s="48"/>
      <c r="E440" s="48"/>
      <c r="F440" s="48"/>
      <c r="G440" s="48"/>
      <c r="H440" s="48"/>
      <c r="I440" s="48"/>
      <c r="J440" s="48"/>
      <c r="K440" s="48"/>
      <c r="L440" s="48"/>
      <c r="M440" s="48"/>
      <c r="N440" s="48"/>
      <c r="O440" s="48"/>
      <c r="P440" s="48"/>
      <c r="Q440" s="48"/>
      <c r="R440" s="48"/>
      <c r="S440" s="48"/>
      <c r="T440" s="48"/>
      <c r="U440" s="48"/>
      <c r="V440" s="48"/>
    </row>
    <row r="441" spans="2:22" s="46" customFormat="1" ht="15" customHeight="1">
      <c r="B441" s="48"/>
      <c r="C441" s="48"/>
      <c r="D441" s="48"/>
      <c r="E441" s="48"/>
      <c r="F441" s="48"/>
      <c r="G441" s="48"/>
      <c r="H441" s="48"/>
      <c r="I441" s="48"/>
      <c r="J441" s="48"/>
      <c r="K441" s="48"/>
      <c r="L441" s="48"/>
      <c r="M441" s="48"/>
      <c r="N441" s="48"/>
      <c r="O441" s="48"/>
      <c r="P441" s="48"/>
      <c r="Q441" s="48"/>
      <c r="R441" s="48"/>
      <c r="S441" s="48"/>
      <c r="T441" s="48"/>
      <c r="U441" s="48"/>
      <c r="V441" s="48"/>
    </row>
    <row r="442" spans="2:22" s="46" customFormat="1" ht="15" customHeight="1">
      <c r="B442" s="48"/>
      <c r="C442" s="48"/>
      <c r="D442" s="48"/>
      <c r="E442" s="48"/>
      <c r="F442" s="48"/>
      <c r="G442" s="48"/>
      <c r="H442" s="48"/>
      <c r="I442" s="48"/>
      <c r="J442" s="48"/>
      <c r="K442" s="48"/>
      <c r="L442" s="48"/>
      <c r="M442" s="48"/>
      <c r="N442" s="48"/>
      <c r="O442" s="48"/>
      <c r="P442" s="48"/>
      <c r="Q442" s="48"/>
      <c r="R442" s="48"/>
      <c r="S442" s="48"/>
      <c r="T442" s="48"/>
      <c r="U442" s="48"/>
      <c r="V442" s="48"/>
    </row>
    <row r="443" spans="2:22" s="46" customFormat="1" ht="15" customHeight="1">
      <c r="B443" s="48"/>
      <c r="C443" s="48"/>
      <c r="D443" s="48"/>
      <c r="E443" s="48"/>
      <c r="F443" s="48"/>
      <c r="G443" s="48"/>
      <c r="H443" s="48"/>
      <c r="I443" s="48"/>
      <c r="J443" s="48"/>
      <c r="K443" s="48"/>
      <c r="L443" s="48"/>
      <c r="M443" s="48"/>
      <c r="N443" s="48"/>
      <c r="O443" s="48"/>
      <c r="P443" s="48"/>
      <c r="Q443" s="48"/>
      <c r="R443" s="48"/>
      <c r="S443" s="48"/>
      <c r="T443" s="48"/>
      <c r="U443" s="48"/>
      <c r="V443" s="48"/>
    </row>
    <row r="444" spans="2:22" s="46" customFormat="1" ht="15" customHeight="1">
      <c r="B444" s="48"/>
      <c r="C444" s="48"/>
      <c r="D444" s="48"/>
      <c r="E444" s="48"/>
      <c r="F444" s="48"/>
      <c r="G444" s="48"/>
      <c r="H444" s="48"/>
      <c r="I444" s="48"/>
      <c r="J444" s="48"/>
      <c r="K444" s="48"/>
      <c r="L444" s="48"/>
      <c r="M444" s="48"/>
      <c r="N444" s="48"/>
      <c r="O444" s="48"/>
      <c r="P444" s="48"/>
      <c r="Q444" s="48"/>
      <c r="R444" s="48"/>
      <c r="S444" s="48"/>
      <c r="T444" s="48"/>
      <c r="U444" s="48"/>
      <c r="V444" s="48"/>
    </row>
    <row r="445" spans="2:22" s="46" customFormat="1" ht="15" customHeight="1">
      <c r="B445" s="48"/>
      <c r="C445" s="48"/>
      <c r="D445" s="48"/>
      <c r="E445" s="48"/>
      <c r="F445" s="48"/>
      <c r="G445" s="48"/>
      <c r="H445" s="48"/>
      <c r="I445" s="48"/>
      <c r="J445" s="48"/>
      <c r="K445" s="48"/>
      <c r="L445" s="48"/>
      <c r="M445" s="48"/>
      <c r="N445" s="48"/>
      <c r="O445" s="48"/>
      <c r="P445" s="48"/>
      <c r="Q445" s="48"/>
      <c r="R445" s="48"/>
      <c r="S445" s="48"/>
      <c r="T445" s="48"/>
      <c r="U445" s="48"/>
      <c r="V445" s="48"/>
    </row>
    <row r="446" spans="2:22" s="46" customFormat="1" ht="15" customHeight="1">
      <c r="B446" s="48"/>
      <c r="C446" s="48"/>
      <c r="D446" s="48"/>
      <c r="E446" s="48"/>
      <c r="F446" s="48"/>
      <c r="G446" s="48"/>
      <c r="H446" s="48"/>
      <c r="I446" s="48"/>
      <c r="J446" s="48"/>
      <c r="K446" s="48"/>
      <c r="L446" s="48"/>
      <c r="M446" s="48"/>
      <c r="N446" s="48"/>
      <c r="O446" s="48"/>
      <c r="P446" s="48"/>
      <c r="Q446" s="48"/>
      <c r="R446" s="48"/>
      <c r="S446" s="48"/>
      <c r="T446" s="48"/>
      <c r="U446" s="48"/>
      <c r="V446" s="48"/>
    </row>
    <row r="447" spans="2:22" s="46" customFormat="1" ht="15" customHeight="1">
      <c r="B447" s="48"/>
      <c r="C447" s="48"/>
      <c r="D447" s="48"/>
      <c r="E447" s="48"/>
      <c r="F447" s="48"/>
      <c r="G447" s="48"/>
      <c r="H447" s="48"/>
      <c r="I447" s="48"/>
      <c r="J447" s="48"/>
      <c r="K447" s="48"/>
      <c r="L447" s="48"/>
      <c r="M447" s="48"/>
      <c r="N447" s="48"/>
      <c r="O447" s="48"/>
      <c r="P447" s="48"/>
      <c r="Q447" s="48"/>
      <c r="R447" s="48"/>
      <c r="S447" s="48"/>
      <c r="T447" s="48"/>
      <c r="U447" s="48"/>
      <c r="V447" s="48"/>
    </row>
    <row r="448" spans="2:22" s="46" customFormat="1" ht="15" customHeight="1">
      <c r="B448" s="48"/>
      <c r="C448" s="48"/>
      <c r="D448" s="48"/>
      <c r="E448" s="48"/>
      <c r="F448" s="48"/>
      <c r="G448" s="48"/>
      <c r="H448" s="48"/>
      <c r="I448" s="48"/>
      <c r="J448" s="48"/>
      <c r="K448" s="48"/>
      <c r="L448" s="48"/>
      <c r="M448" s="48"/>
      <c r="N448" s="48"/>
      <c r="O448" s="48"/>
      <c r="P448" s="48"/>
      <c r="Q448" s="48"/>
      <c r="R448" s="48"/>
      <c r="S448" s="48"/>
      <c r="T448" s="48"/>
      <c r="U448" s="48"/>
      <c r="V448" s="48"/>
    </row>
    <row r="449" spans="2:22" s="46" customFormat="1" ht="15" customHeight="1">
      <c r="B449" s="48"/>
      <c r="C449" s="48"/>
      <c r="D449" s="48"/>
      <c r="E449" s="48"/>
      <c r="F449" s="48"/>
      <c r="G449" s="48"/>
      <c r="H449" s="48"/>
      <c r="I449" s="48"/>
      <c r="J449" s="48"/>
      <c r="K449" s="48"/>
      <c r="L449" s="48"/>
      <c r="M449" s="48"/>
      <c r="N449" s="48"/>
      <c r="O449" s="48"/>
      <c r="P449" s="48"/>
      <c r="Q449" s="48"/>
      <c r="R449" s="48"/>
      <c r="S449" s="48"/>
      <c r="T449" s="48"/>
      <c r="U449" s="48"/>
      <c r="V449" s="48"/>
    </row>
    <row r="450" spans="2:22" s="46" customFormat="1" ht="15" customHeight="1">
      <c r="B450" s="48"/>
      <c r="C450" s="48"/>
      <c r="D450" s="48"/>
      <c r="E450" s="48"/>
      <c r="F450" s="48"/>
      <c r="G450" s="48"/>
      <c r="H450" s="48"/>
      <c r="I450" s="48"/>
      <c r="J450" s="48"/>
      <c r="K450" s="48"/>
      <c r="L450" s="48"/>
      <c r="M450" s="48"/>
      <c r="N450" s="48"/>
      <c r="O450" s="48"/>
      <c r="P450" s="48"/>
      <c r="Q450" s="48"/>
      <c r="R450" s="48"/>
      <c r="S450" s="48"/>
      <c r="T450" s="48"/>
      <c r="U450" s="48"/>
      <c r="V450" s="48"/>
    </row>
    <row r="451" spans="2:22" s="46" customFormat="1" ht="15" customHeight="1">
      <c r="B451" s="48"/>
      <c r="C451" s="48"/>
      <c r="D451" s="48"/>
      <c r="E451" s="48"/>
      <c r="F451" s="48"/>
      <c r="G451" s="48"/>
      <c r="H451" s="48"/>
      <c r="I451" s="48"/>
      <c r="J451" s="48"/>
      <c r="K451" s="48"/>
      <c r="L451" s="48"/>
      <c r="M451" s="48"/>
      <c r="N451" s="48"/>
      <c r="O451" s="48"/>
      <c r="P451" s="48"/>
      <c r="Q451" s="48"/>
      <c r="R451" s="48"/>
      <c r="S451" s="48"/>
      <c r="T451" s="48"/>
      <c r="U451" s="48"/>
      <c r="V451" s="48"/>
    </row>
    <row r="452" spans="2:22" s="46" customFormat="1" ht="15" customHeight="1">
      <c r="B452" s="48"/>
      <c r="C452" s="48"/>
      <c r="D452" s="48"/>
      <c r="E452" s="48"/>
      <c r="F452" s="48"/>
      <c r="G452" s="48"/>
      <c r="H452" s="48"/>
      <c r="I452" s="48"/>
      <c r="J452" s="48"/>
      <c r="K452" s="48"/>
      <c r="L452" s="48"/>
      <c r="M452" s="48"/>
      <c r="N452" s="48"/>
      <c r="O452" s="48"/>
      <c r="P452" s="48"/>
      <c r="Q452" s="48"/>
      <c r="R452" s="48"/>
      <c r="S452" s="48"/>
      <c r="T452" s="48"/>
      <c r="U452" s="48"/>
      <c r="V452" s="48"/>
    </row>
    <row r="453" spans="2:22" s="46" customFormat="1" ht="15" customHeight="1">
      <c r="B453" s="48"/>
      <c r="C453" s="48"/>
      <c r="D453" s="48"/>
      <c r="E453" s="48"/>
      <c r="F453" s="48"/>
      <c r="G453" s="48"/>
      <c r="H453" s="48"/>
      <c r="I453" s="48"/>
      <c r="J453" s="48"/>
      <c r="K453" s="48"/>
      <c r="L453" s="48"/>
      <c r="M453" s="48"/>
      <c r="N453" s="48"/>
      <c r="O453" s="48"/>
      <c r="P453" s="48"/>
      <c r="Q453" s="48"/>
      <c r="R453" s="48"/>
      <c r="S453" s="48"/>
      <c r="T453" s="48"/>
      <c r="U453" s="48"/>
      <c r="V453" s="48"/>
    </row>
    <row r="454" spans="2:22" s="46" customFormat="1" ht="15" customHeight="1">
      <c r="B454" s="48"/>
      <c r="C454" s="48"/>
      <c r="D454" s="48"/>
      <c r="E454" s="48"/>
      <c r="F454" s="48"/>
      <c r="G454" s="48"/>
      <c r="H454" s="48"/>
      <c r="I454" s="48"/>
      <c r="J454" s="48"/>
      <c r="K454" s="48"/>
      <c r="L454" s="48"/>
      <c r="M454" s="48"/>
      <c r="N454" s="48"/>
      <c r="O454" s="48"/>
      <c r="P454" s="48"/>
      <c r="Q454" s="48"/>
      <c r="R454" s="48"/>
      <c r="S454" s="48"/>
      <c r="T454" s="48"/>
      <c r="U454" s="48"/>
      <c r="V454" s="48"/>
    </row>
    <row r="455" spans="2:22" s="46" customFormat="1" ht="15" customHeight="1">
      <c r="B455" s="48"/>
      <c r="C455" s="48"/>
      <c r="D455" s="48"/>
      <c r="E455" s="48"/>
      <c r="F455" s="48"/>
      <c r="G455" s="48"/>
      <c r="H455" s="48"/>
      <c r="I455" s="48"/>
      <c r="J455" s="48"/>
      <c r="K455" s="48"/>
      <c r="L455" s="48"/>
      <c r="M455" s="48"/>
      <c r="N455" s="48"/>
      <c r="O455" s="48"/>
      <c r="P455" s="48"/>
      <c r="Q455" s="48"/>
      <c r="R455" s="48"/>
      <c r="S455" s="48"/>
      <c r="T455" s="48"/>
      <c r="U455" s="48"/>
      <c r="V455" s="48"/>
    </row>
    <row r="456" spans="2:22" s="46" customFormat="1" ht="15" customHeight="1">
      <c r="B456" s="48"/>
      <c r="C456" s="48"/>
      <c r="D456" s="48"/>
      <c r="E456" s="48"/>
      <c r="F456" s="48"/>
      <c r="G456" s="48"/>
      <c r="H456" s="48"/>
      <c r="I456" s="48"/>
      <c r="J456" s="48"/>
      <c r="K456" s="48"/>
      <c r="L456" s="48"/>
      <c r="M456" s="48"/>
      <c r="N456" s="48"/>
      <c r="O456" s="48"/>
      <c r="P456" s="48"/>
      <c r="Q456" s="48"/>
      <c r="R456" s="48"/>
      <c r="S456" s="48"/>
      <c r="T456" s="48"/>
      <c r="U456" s="48"/>
      <c r="V456" s="48"/>
    </row>
    <row r="457" spans="2:22" s="46" customFormat="1" ht="15" customHeight="1">
      <c r="B457" s="48"/>
      <c r="C457" s="48"/>
      <c r="D457" s="48"/>
      <c r="E457" s="48"/>
      <c r="F457" s="48"/>
      <c r="G457" s="48"/>
      <c r="H457" s="48"/>
      <c r="I457" s="48"/>
      <c r="J457" s="48"/>
      <c r="K457" s="48"/>
      <c r="L457" s="48"/>
      <c r="M457" s="48"/>
      <c r="N457" s="48"/>
      <c r="O457" s="48"/>
      <c r="P457" s="48"/>
      <c r="Q457" s="48"/>
      <c r="R457" s="48"/>
      <c r="S457" s="48"/>
      <c r="T457" s="48"/>
      <c r="U457" s="48"/>
      <c r="V457" s="48"/>
    </row>
    <row r="458" spans="2:22" s="46" customFormat="1" ht="15" customHeight="1">
      <c r="B458" s="48"/>
      <c r="C458" s="48"/>
      <c r="D458" s="48"/>
      <c r="E458" s="48"/>
      <c r="F458" s="48"/>
      <c r="G458" s="48"/>
      <c r="H458" s="48"/>
      <c r="I458" s="48"/>
      <c r="J458" s="48"/>
      <c r="K458" s="48"/>
      <c r="L458" s="48"/>
      <c r="M458" s="48"/>
      <c r="N458" s="48"/>
      <c r="O458" s="48"/>
      <c r="P458" s="48"/>
      <c r="Q458" s="48"/>
      <c r="R458" s="48"/>
      <c r="S458" s="48"/>
      <c r="T458" s="48"/>
      <c r="U458" s="48"/>
      <c r="V458" s="48"/>
    </row>
    <row r="459" spans="2:22" s="46" customFormat="1" ht="15" customHeight="1">
      <c r="B459" s="48"/>
      <c r="C459" s="48"/>
      <c r="D459" s="48"/>
      <c r="E459" s="48"/>
      <c r="F459" s="48"/>
      <c r="G459" s="48"/>
      <c r="H459" s="48"/>
      <c r="I459" s="48"/>
      <c r="J459" s="48"/>
      <c r="K459" s="48"/>
      <c r="L459" s="48"/>
      <c r="M459" s="48"/>
      <c r="N459" s="48"/>
      <c r="O459" s="48"/>
      <c r="P459" s="48"/>
      <c r="Q459" s="48"/>
      <c r="R459" s="48"/>
      <c r="S459" s="48"/>
      <c r="T459" s="48"/>
      <c r="U459" s="48"/>
      <c r="V459" s="48"/>
    </row>
    <row r="460" spans="2:22" s="46" customFormat="1" ht="15" customHeight="1">
      <c r="B460" s="48"/>
      <c r="C460" s="48"/>
      <c r="D460" s="48"/>
      <c r="E460" s="48"/>
      <c r="F460" s="48"/>
      <c r="G460" s="48"/>
      <c r="H460" s="48"/>
      <c r="I460" s="48"/>
      <c r="J460" s="48"/>
      <c r="K460" s="48"/>
      <c r="L460" s="48"/>
      <c r="M460" s="48"/>
      <c r="N460" s="48"/>
      <c r="O460" s="48"/>
      <c r="P460" s="48"/>
      <c r="Q460" s="48"/>
      <c r="R460" s="48"/>
      <c r="S460" s="48"/>
      <c r="T460" s="48"/>
      <c r="U460" s="48"/>
      <c r="V460" s="48"/>
    </row>
    <row r="461" spans="2:22" s="46" customFormat="1" ht="15" customHeight="1">
      <c r="B461" s="48"/>
      <c r="C461" s="48"/>
      <c r="D461" s="48"/>
      <c r="E461" s="48"/>
      <c r="F461" s="48"/>
      <c r="G461" s="48"/>
      <c r="H461" s="48"/>
      <c r="I461" s="48"/>
      <c r="J461" s="48"/>
      <c r="K461" s="48"/>
      <c r="L461" s="48"/>
      <c r="M461" s="48"/>
      <c r="N461" s="48"/>
      <c r="O461" s="48"/>
      <c r="P461" s="48"/>
      <c r="Q461" s="48"/>
      <c r="R461" s="48"/>
      <c r="S461" s="48"/>
      <c r="T461" s="48"/>
      <c r="U461" s="48"/>
      <c r="V461" s="48"/>
    </row>
    <row r="462" spans="2:22" s="46" customFormat="1" ht="15" customHeight="1">
      <c r="B462" s="48"/>
      <c r="C462" s="48"/>
      <c r="D462" s="48"/>
      <c r="E462" s="48"/>
      <c r="F462" s="48"/>
      <c r="G462" s="48"/>
      <c r="H462" s="48"/>
      <c r="I462" s="48"/>
      <c r="J462" s="48"/>
      <c r="K462" s="48"/>
      <c r="L462" s="48"/>
      <c r="M462" s="48"/>
      <c r="N462" s="48"/>
      <c r="O462" s="48"/>
      <c r="P462" s="48"/>
      <c r="Q462" s="48"/>
      <c r="R462" s="48"/>
      <c r="S462" s="48"/>
      <c r="T462" s="48"/>
      <c r="U462" s="48"/>
      <c r="V462" s="48"/>
    </row>
    <row r="463" spans="2:22" s="46" customFormat="1" ht="15" customHeight="1">
      <c r="B463" s="48"/>
      <c r="C463" s="48"/>
      <c r="D463" s="48"/>
      <c r="E463" s="48"/>
      <c r="F463" s="48"/>
      <c r="G463" s="48"/>
      <c r="H463" s="48"/>
      <c r="I463" s="48"/>
      <c r="J463" s="48"/>
      <c r="K463" s="48"/>
      <c r="L463" s="48"/>
      <c r="M463" s="48"/>
      <c r="N463" s="48"/>
      <c r="O463" s="48"/>
      <c r="P463" s="48"/>
      <c r="Q463" s="48"/>
      <c r="R463" s="48"/>
      <c r="S463" s="48"/>
      <c r="T463" s="48"/>
      <c r="U463" s="48"/>
      <c r="V463" s="48"/>
    </row>
    <row r="464" spans="2:22" s="46" customFormat="1" ht="15" customHeight="1">
      <c r="B464" s="48"/>
      <c r="C464" s="48"/>
      <c r="D464" s="48"/>
      <c r="E464" s="48"/>
      <c r="F464" s="48"/>
      <c r="G464" s="48"/>
      <c r="H464" s="48"/>
      <c r="I464" s="48"/>
      <c r="J464" s="48"/>
      <c r="K464" s="48"/>
      <c r="L464" s="48"/>
      <c r="M464" s="48"/>
      <c r="N464" s="48"/>
      <c r="O464" s="48"/>
      <c r="P464" s="48"/>
      <c r="Q464" s="48"/>
      <c r="R464" s="48"/>
      <c r="S464" s="48"/>
      <c r="T464" s="48"/>
      <c r="U464" s="48"/>
      <c r="V464" s="48"/>
    </row>
    <row r="465" spans="2:22" s="46" customFormat="1" ht="15" customHeight="1">
      <c r="B465" s="48"/>
      <c r="C465" s="48"/>
      <c r="D465" s="48"/>
      <c r="E465" s="48"/>
      <c r="F465" s="48"/>
      <c r="G465" s="48"/>
      <c r="H465" s="48"/>
      <c r="I465" s="48"/>
      <c r="J465" s="48"/>
      <c r="K465" s="48"/>
      <c r="L465" s="48"/>
      <c r="M465" s="48"/>
      <c r="N465" s="48"/>
      <c r="O465" s="48"/>
      <c r="P465" s="48"/>
      <c r="Q465" s="48"/>
      <c r="R465" s="48"/>
      <c r="S465" s="48"/>
      <c r="T465" s="48"/>
      <c r="U465" s="48"/>
      <c r="V465" s="48"/>
    </row>
    <row r="466" spans="2:22" s="46" customFormat="1" ht="15" customHeight="1">
      <c r="B466" s="48"/>
      <c r="C466" s="48"/>
      <c r="D466" s="48"/>
      <c r="E466" s="48"/>
      <c r="F466" s="48"/>
      <c r="G466" s="48"/>
      <c r="H466" s="48"/>
      <c r="I466" s="48"/>
      <c r="J466" s="48"/>
      <c r="K466" s="48"/>
      <c r="L466" s="48"/>
      <c r="M466" s="48"/>
      <c r="N466" s="48"/>
      <c r="O466" s="48"/>
      <c r="P466" s="48"/>
      <c r="Q466" s="48"/>
      <c r="R466" s="48"/>
      <c r="S466" s="48"/>
      <c r="T466" s="48"/>
      <c r="U466" s="48"/>
      <c r="V466" s="48"/>
    </row>
    <row r="467" spans="2:22" s="46" customFormat="1" ht="15" customHeight="1">
      <c r="B467" s="48"/>
      <c r="C467" s="48"/>
      <c r="D467" s="48"/>
      <c r="E467" s="48"/>
      <c r="F467" s="48"/>
      <c r="G467" s="48"/>
      <c r="H467" s="48"/>
      <c r="I467" s="48"/>
      <c r="J467" s="48"/>
      <c r="K467" s="48"/>
      <c r="L467" s="48"/>
      <c r="M467" s="48"/>
      <c r="N467" s="48"/>
      <c r="O467" s="48"/>
      <c r="P467" s="48"/>
      <c r="Q467" s="48"/>
      <c r="R467" s="48"/>
      <c r="S467" s="48"/>
      <c r="T467" s="48"/>
      <c r="U467" s="48"/>
      <c r="V467" s="48"/>
    </row>
    <row r="468" spans="2:22" s="46" customFormat="1" ht="15" customHeight="1">
      <c r="B468" s="48"/>
      <c r="C468" s="48"/>
      <c r="D468" s="48"/>
      <c r="E468" s="48"/>
      <c r="F468" s="48"/>
      <c r="G468" s="48"/>
      <c r="H468" s="48"/>
      <c r="I468" s="48"/>
      <c r="J468" s="48"/>
      <c r="K468" s="48"/>
      <c r="L468" s="48"/>
      <c r="M468" s="48"/>
      <c r="N468" s="48"/>
      <c r="O468" s="48"/>
      <c r="P468" s="48"/>
      <c r="Q468" s="48"/>
      <c r="R468" s="48"/>
      <c r="S468" s="48"/>
      <c r="T468" s="48"/>
      <c r="U468" s="48"/>
      <c r="V468" s="48"/>
    </row>
    <row r="469" spans="2:22" s="46" customFormat="1" ht="15" customHeight="1">
      <c r="B469" s="48"/>
      <c r="C469" s="48"/>
      <c r="D469" s="48"/>
      <c r="E469" s="48"/>
      <c r="F469" s="48"/>
      <c r="G469" s="48"/>
      <c r="H469" s="48"/>
      <c r="I469" s="48"/>
      <c r="J469" s="48"/>
      <c r="K469" s="48"/>
      <c r="L469" s="48"/>
      <c r="M469" s="48"/>
      <c r="N469" s="48"/>
      <c r="O469" s="48"/>
      <c r="P469" s="48"/>
      <c r="Q469" s="48"/>
      <c r="R469" s="48"/>
      <c r="S469" s="48"/>
      <c r="T469" s="48"/>
      <c r="U469" s="48"/>
      <c r="V469" s="48"/>
    </row>
    <row r="470" spans="2:22" s="46" customFormat="1" ht="15" customHeight="1">
      <c r="B470" s="48"/>
      <c r="C470" s="48"/>
      <c r="D470" s="48"/>
      <c r="E470" s="48"/>
      <c r="F470" s="48"/>
      <c r="G470" s="48"/>
      <c r="H470" s="48"/>
      <c r="I470" s="48"/>
      <c r="J470" s="48"/>
      <c r="K470" s="48"/>
      <c r="L470" s="48"/>
      <c r="M470" s="48"/>
      <c r="N470" s="48"/>
      <c r="O470" s="48"/>
      <c r="P470" s="48"/>
      <c r="Q470" s="48"/>
      <c r="R470" s="48"/>
      <c r="S470" s="48"/>
      <c r="T470" s="48"/>
      <c r="U470" s="48"/>
      <c r="V470" s="48"/>
    </row>
    <row r="471" spans="2:22" s="46" customFormat="1" ht="15" customHeight="1">
      <c r="B471" s="48"/>
      <c r="C471" s="48"/>
      <c r="D471" s="48"/>
      <c r="E471" s="48"/>
      <c r="F471" s="48"/>
      <c r="G471" s="48"/>
      <c r="H471" s="48"/>
      <c r="I471" s="48"/>
      <c r="J471" s="48"/>
      <c r="K471" s="48"/>
      <c r="L471" s="48"/>
      <c r="M471" s="48"/>
      <c r="N471" s="48"/>
      <c r="O471" s="48"/>
      <c r="P471" s="48"/>
      <c r="Q471" s="48"/>
      <c r="R471" s="48"/>
      <c r="S471" s="48"/>
      <c r="T471" s="48"/>
      <c r="U471" s="48"/>
      <c r="V471" s="48"/>
    </row>
    <row r="472" spans="2:22" s="46" customFormat="1" ht="15" customHeight="1">
      <c r="B472" s="48"/>
      <c r="C472" s="48"/>
      <c r="D472" s="48"/>
      <c r="E472" s="48"/>
      <c r="F472" s="48"/>
      <c r="G472" s="48"/>
      <c r="H472" s="48"/>
      <c r="I472" s="48"/>
      <c r="J472" s="48"/>
      <c r="K472" s="48"/>
      <c r="L472" s="48"/>
      <c r="M472" s="48"/>
      <c r="N472" s="48"/>
      <c r="O472" s="48"/>
      <c r="P472" s="48"/>
      <c r="Q472" s="48"/>
      <c r="R472" s="48"/>
      <c r="S472" s="48"/>
      <c r="T472" s="48"/>
      <c r="U472" s="48"/>
      <c r="V472" s="48"/>
    </row>
    <row r="473" spans="2:22" s="46" customFormat="1" ht="15" customHeight="1">
      <c r="B473" s="48"/>
      <c r="C473" s="48"/>
      <c r="D473" s="48"/>
      <c r="E473" s="48"/>
      <c r="F473" s="48"/>
      <c r="G473" s="48"/>
      <c r="H473" s="48"/>
      <c r="I473" s="48"/>
      <c r="J473" s="48"/>
      <c r="K473" s="48"/>
      <c r="L473" s="48"/>
      <c r="M473" s="48"/>
      <c r="N473" s="48"/>
      <c r="O473" s="48"/>
      <c r="P473" s="48"/>
      <c r="Q473" s="48"/>
      <c r="R473" s="48"/>
      <c r="S473" s="48"/>
      <c r="T473" s="48"/>
      <c r="U473" s="48"/>
      <c r="V473" s="48"/>
    </row>
    <row r="474" spans="2:22" s="46" customFormat="1" ht="15" customHeight="1">
      <c r="B474" s="48"/>
      <c r="C474" s="48"/>
      <c r="D474" s="48"/>
      <c r="E474" s="48"/>
      <c r="F474" s="48"/>
      <c r="G474" s="48"/>
      <c r="H474" s="48"/>
      <c r="I474" s="48"/>
      <c r="J474" s="48"/>
      <c r="K474" s="48"/>
      <c r="L474" s="48"/>
      <c r="M474" s="48"/>
      <c r="N474" s="48"/>
      <c r="O474" s="48"/>
      <c r="P474" s="48"/>
      <c r="Q474" s="48"/>
      <c r="R474" s="48"/>
      <c r="S474" s="48"/>
      <c r="T474" s="48"/>
      <c r="U474" s="48"/>
      <c r="V474" s="48"/>
    </row>
    <row r="475" spans="2:22" s="46" customFormat="1" ht="15" customHeight="1">
      <c r="B475" s="48"/>
      <c r="C475" s="48"/>
      <c r="D475" s="48"/>
      <c r="E475" s="48"/>
      <c r="F475" s="48"/>
      <c r="G475" s="48"/>
      <c r="H475" s="48"/>
      <c r="I475" s="48"/>
      <c r="J475" s="48"/>
      <c r="K475" s="48"/>
      <c r="L475" s="48"/>
      <c r="M475" s="48"/>
      <c r="N475" s="48"/>
      <c r="O475" s="48"/>
      <c r="P475" s="48"/>
      <c r="Q475" s="48"/>
      <c r="R475" s="48"/>
      <c r="S475" s="48"/>
      <c r="T475" s="48"/>
      <c r="U475" s="48"/>
      <c r="V475" s="48"/>
    </row>
    <row r="476" spans="2:22" s="46" customFormat="1" ht="15" customHeight="1">
      <c r="B476" s="48"/>
      <c r="C476" s="48"/>
      <c r="D476" s="48"/>
      <c r="E476" s="48"/>
      <c r="F476" s="48"/>
      <c r="G476" s="48"/>
      <c r="H476" s="48"/>
      <c r="I476" s="48"/>
      <c r="J476" s="48"/>
      <c r="K476" s="48"/>
      <c r="L476" s="48"/>
      <c r="M476" s="48"/>
      <c r="N476" s="48"/>
      <c r="O476" s="48"/>
      <c r="P476" s="48"/>
      <c r="Q476" s="48"/>
      <c r="R476" s="48"/>
      <c r="S476" s="48"/>
      <c r="T476" s="48"/>
      <c r="U476" s="48"/>
      <c r="V476" s="48"/>
    </row>
    <row r="477" spans="2:22" s="46" customFormat="1" ht="15" customHeight="1">
      <c r="B477" s="48"/>
      <c r="C477" s="48"/>
      <c r="D477" s="48"/>
      <c r="E477" s="48"/>
      <c r="F477" s="48"/>
      <c r="G477" s="48"/>
      <c r="H477" s="48"/>
      <c r="I477" s="48"/>
      <c r="J477" s="48"/>
      <c r="K477" s="48"/>
      <c r="L477" s="48"/>
      <c r="M477" s="48"/>
      <c r="N477" s="48"/>
      <c r="O477" s="48"/>
      <c r="P477" s="48"/>
      <c r="Q477" s="48"/>
      <c r="R477" s="48"/>
      <c r="S477" s="48"/>
      <c r="T477" s="48"/>
      <c r="U477" s="48"/>
      <c r="V477" s="48"/>
    </row>
    <row r="478" spans="2:22" s="46" customFormat="1" ht="15" customHeight="1">
      <c r="B478" s="48"/>
      <c r="C478" s="48"/>
      <c r="D478" s="48"/>
      <c r="E478" s="48"/>
      <c r="F478" s="48"/>
      <c r="G478" s="48"/>
      <c r="H478" s="48"/>
      <c r="I478" s="48"/>
      <c r="J478" s="48"/>
      <c r="K478" s="48"/>
      <c r="L478" s="48"/>
      <c r="M478" s="48"/>
      <c r="N478" s="48"/>
      <c r="O478" s="48"/>
      <c r="P478" s="48"/>
      <c r="Q478" s="48"/>
      <c r="R478" s="48"/>
      <c r="S478" s="48"/>
      <c r="T478" s="48"/>
      <c r="U478" s="48"/>
      <c r="V478" s="48"/>
    </row>
    <row r="479" spans="2:22" s="46" customFormat="1" ht="15" customHeight="1">
      <c r="B479" s="48"/>
      <c r="C479" s="48"/>
      <c r="D479" s="48"/>
      <c r="E479" s="48"/>
      <c r="F479" s="48"/>
      <c r="G479" s="48"/>
      <c r="H479" s="48"/>
      <c r="I479" s="48"/>
      <c r="J479" s="48"/>
      <c r="K479" s="48"/>
      <c r="L479" s="48"/>
      <c r="M479" s="48"/>
      <c r="N479" s="48"/>
      <c r="O479" s="48"/>
      <c r="P479" s="48"/>
      <c r="Q479" s="48"/>
      <c r="R479" s="48"/>
      <c r="S479" s="48"/>
      <c r="T479" s="48"/>
      <c r="U479" s="48"/>
      <c r="V479" s="48"/>
    </row>
    <row r="480" spans="2:22" s="46" customFormat="1" ht="15" customHeight="1">
      <c r="B480" s="48"/>
      <c r="C480" s="48"/>
      <c r="D480" s="48"/>
      <c r="E480" s="48"/>
      <c r="F480" s="48"/>
      <c r="G480" s="48"/>
      <c r="H480" s="48"/>
      <c r="I480" s="48"/>
      <c r="J480" s="48"/>
      <c r="K480" s="48"/>
      <c r="L480" s="48"/>
      <c r="M480" s="48"/>
      <c r="N480" s="48"/>
      <c r="O480" s="48"/>
      <c r="P480" s="48"/>
      <c r="Q480" s="48"/>
      <c r="R480" s="48"/>
      <c r="S480" s="48"/>
      <c r="T480" s="48"/>
      <c r="U480" s="48"/>
      <c r="V480" s="48"/>
    </row>
    <row r="481" spans="2:22" s="46" customFormat="1" ht="15" customHeight="1">
      <c r="B481" s="48"/>
      <c r="C481" s="48"/>
      <c r="D481" s="48"/>
      <c r="E481" s="48"/>
      <c r="F481" s="48"/>
      <c r="G481" s="48"/>
      <c r="H481" s="48"/>
      <c r="I481" s="48"/>
      <c r="J481" s="48"/>
      <c r="K481" s="48"/>
      <c r="L481" s="48"/>
      <c r="M481" s="48"/>
      <c r="N481" s="48"/>
      <c r="O481" s="48"/>
      <c r="P481" s="48"/>
      <c r="Q481" s="48"/>
      <c r="R481" s="48"/>
      <c r="S481" s="48"/>
      <c r="T481" s="48"/>
      <c r="U481" s="48"/>
      <c r="V481" s="48"/>
    </row>
    <row r="482" spans="2:22" s="46" customFormat="1" ht="15" customHeight="1">
      <c r="B482" s="48"/>
      <c r="C482" s="48"/>
      <c r="D482" s="48"/>
      <c r="E482" s="48"/>
      <c r="F482" s="48"/>
      <c r="G482" s="48"/>
      <c r="H482" s="48"/>
      <c r="I482" s="48"/>
      <c r="J482" s="48"/>
      <c r="K482" s="48"/>
      <c r="L482" s="48"/>
      <c r="M482" s="48"/>
      <c r="N482" s="48"/>
      <c r="O482" s="48"/>
      <c r="P482" s="48"/>
      <c r="Q482" s="48"/>
      <c r="R482" s="48"/>
      <c r="S482" s="48"/>
      <c r="T482" s="48"/>
      <c r="U482" s="48"/>
      <c r="V482" s="48"/>
    </row>
    <row r="483" spans="2:22" s="46" customFormat="1" ht="15" customHeight="1">
      <c r="B483" s="48"/>
      <c r="C483" s="48"/>
      <c r="D483" s="48"/>
      <c r="E483" s="48"/>
      <c r="F483" s="48"/>
      <c r="G483" s="48"/>
      <c r="H483" s="48"/>
      <c r="I483" s="48"/>
      <c r="J483" s="48"/>
      <c r="K483" s="48"/>
      <c r="L483" s="48"/>
      <c r="M483" s="48"/>
      <c r="N483" s="48"/>
      <c r="O483" s="48"/>
      <c r="P483" s="48"/>
      <c r="Q483" s="48"/>
      <c r="R483" s="48"/>
      <c r="S483" s="48"/>
      <c r="T483" s="48"/>
      <c r="U483" s="48"/>
      <c r="V483" s="48"/>
    </row>
    <row r="484" spans="2:22" s="46" customFormat="1" ht="15" customHeight="1">
      <c r="B484" s="48"/>
      <c r="C484" s="48"/>
      <c r="D484" s="48"/>
      <c r="E484" s="48"/>
      <c r="F484" s="48"/>
      <c r="G484" s="48"/>
      <c r="H484" s="48"/>
      <c r="I484" s="48"/>
      <c r="J484" s="48"/>
      <c r="K484" s="48"/>
      <c r="L484" s="48"/>
      <c r="M484" s="48"/>
      <c r="N484" s="48"/>
      <c r="O484" s="48"/>
      <c r="P484" s="48"/>
      <c r="Q484" s="48"/>
      <c r="R484" s="48"/>
      <c r="S484" s="48"/>
      <c r="T484" s="48"/>
      <c r="U484" s="48"/>
      <c r="V484" s="48"/>
    </row>
    <row r="485" spans="2:22" s="46" customFormat="1" ht="15" customHeight="1">
      <c r="B485" s="48"/>
      <c r="C485" s="48"/>
      <c r="D485" s="48"/>
      <c r="E485" s="48"/>
      <c r="F485" s="48"/>
      <c r="G485" s="48"/>
      <c r="H485" s="48"/>
      <c r="I485" s="48"/>
      <c r="J485" s="48"/>
      <c r="K485" s="48"/>
      <c r="L485" s="48"/>
      <c r="M485" s="48"/>
      <c r="N485" s="48"/>
      <c r="O485" s="48"/>
      <c r="P485" s="48"/>
      <c r="Q485" s="48"/>
      <c r="R485" s="48"/>
      <c r="S485" s="48"/>
      <c r="T485" s="48"/>
      <c r="U485" s="48"/>
      <c r="V485" s="48"/>
    </row>
    <row r="486" spans="2:22" s="46" customFormat="1" ht="15" customHeight="1">
      <c r="B486" s="48"/>
      <c r="C486" s="48"/>
      <c r="D486" s="48"/>
      <c r="E486" s="48"/>
      <c r="F486" s="48"/>
      <c r="G486" s="48"/>
      <c r="H486" s="48"/>
      <c r="I486" s="48"/>
      <c r="J486" s="48"/>
      <c r="K486" s="48"/>
      <c r="L486" s="48"/>
      <c r="M486" s="48"/>
      <c r="N486" s="48"/>
      <c r="O486" s="48"/>
      <c r="P486" s="48"/>
      <c r="Q486" s="48"/>
      <c r="R486" s="48"/>
      <c r="S486" s="48"/>
      <c r="T486" s="48"/>
      <c r="U486" s="48"/>
      <c r="V486" s="48"/>
    </row>
    <row r="487" spans="2:22" s="46" customFormat="1" ht="15" customHeight="1">
      <c r="B487" s="48"/>
      <c r="C487" s="48"/>
      <c r="D487" s="48"/>
      <c r="E487" s="48"/>
      <c r="F487" s="48"/>
      <c r="G487" s="48"/>
      <c r="H487" s="48"/>
      <c r="I487" s="48"/>
      <c r="J487" s="48"/>
      <c r="K487" s="48"/>
      <c r="L487" s="48"/>
      <c r="M487" s="48"/>
      <c r="N487" s="48"/>
      <c r="O487" s="48"/>
      <c r="P487" s="48"/>
      <c r="Q487" s="48"/>
      <c r="R487" s="48"/>
      <c r="S487" s="48"/>
      <c r="T487" s="48"/>
      <c r="U487" s="48"/>
      <c r="V487" s="48"/>
    </row>
    <row r="488" spans="2:22" s="46" customFormat="1" ht="15" customHeight="1">
      <c r="B488" s="48"/>
      <c r="C488" s="48"/>
      <c r="D488" s="48"/>
      <c r="E488" s="48"/>
      <c r="F488" s="48"/>
      <c r="G488" s="48"/>
      <c r="H488" s="48"/>
      <c r="I488" s="48"/>
      <c r="J488" s="48"/>
      <c r="K488" s="48"/>
      <c r="L488" s="48"/>
      <c r="M488" s="48"/>
      <c r="N488" s="48"/>
      <c r="O488" s="48"/>
      <c r="P488" s="48"/>
      <c r="Q488" s="48"/>
      <c r="R488" s="48"/>
      <c r="S488" s="48"/>
      <c r="T488" s="48"/>
      <c r="U488" s="48"/>
      <c r="V488" s="48"/>
    </row>
    <row r="489" spans="2:22" s="46" customFormat="1" ht="15" customHeight="1">
      <c r="B489" s="48"/>
      <c r="C489" s="48"/>
      <c r="D489" s="48"/>
      <c r="E489" s="48"/>
      <c r="F489" s="48"/>
      <c r="G489" s="48"/>
      <c r="H489" s="48"/>
      <c r="I489" s="48"/>
      <c r="J489" s="48"/>
      <c r="K489" s="48"/>
      <c r="L489" s="48"/>
      <c r="M489" s="48"/>
      <c r="N489" s="48"/>
      <c r="O489" s="48"/>
      <c r="P489" s="48"/>
      <c r="Q489" s="48"/>
      <c r="R489" s="48"/>
      <c r="S489" s="48"/>
      <c r="T489" s="48"/>
      <c r="U489" s="48"/>
      <c r="V489" s="48"/>
    </row>
    <row r="490" spans="2:22" s="46" customFormat="1" ht="15" customHeight="1">
      <c r="B490" s="48"/>
      <c r="C490" s="48"/>
      <c r="D490" s="48"/>
      <c r="E490" s="48"/>
      <c r="F490" s="48"/>
      <c r="G490" s="48"/>
      <c r="H490" s="48"/>
      <c r="I490" s="48"/>
      <c r="J490" s="48"/>
      <c r="K490" s="48"/>
      <c r="L490" s="48"/>
      <c r="M490" s="48"/>
      <c r="N490" s="48"/>
      <c r="O490" s="48"/>
      <c r="P490" s="48"/>
      <c r="Q490" s="48"/>
      <c r="R490" s="48"/>
      <c r="S490" s="48"/>
      <c r="T490" s="48"/>
      <c r="U490" s="48"/>
      <c r="V490" s="48"/>
    </row>
    <row r="491" spans="2:22" s="46" customFormat="1" ht="15" customHeight="1">
      <c r="B491" s="48"/>
      <c r="C491" s="48"/>
      <c r="D491" s="48"/>
      <c r="E491" s="48"/>
      <c r="F491" s="48"/>
      <c r="G491" s="48"/>
      <c r="H491" s="48"/>
      <c r="I491" s="48"/>
      <c r="J491" s="48"/>
      <c r="K491" s="48"/>
      <c r="L491" s="48"/>
      <c r="M491" s="48"/>
      <c r="N491" s="48"/>
      <c r="O491" s="48"/>
      <c r="P491" s="48"/>
      <c r="Q491" s="48"/>
      <c r="R491" s="48"/>
      <c r="S491" s="48"/>
      <c r="T491" s="48"/>
      <c r="U491" s="48"/>
      <c r="V491" s="48"/>
    </row>
    <row r="492" spans="2:22" s="46" customFormat="1" ht="15" customHeight="1">
      <c r="B492" s="48"/>
      <c r="C492" s="48"/>
      <c r="D492" s="48"/>
      <c r="E492" s="48"/>
      <c r="F492" s="48"/>
      <c r="G492" s="48"/>
      <c r="H492" s="48"/>
      <c r="I492" s="48"/>
      <c r="J492" s="48"/>
      <c r="K492" s="48"/>
      <c r="L492" s="48"/>
      <c r="M492" s="48"/>
      <c r="N492" s="48"/>
      <c r="O492" s="48"/>
      <c r="P492" s="48"/>
      <c r="Q492" s="48"/>
      <c r="R492" s="48"/>
      <c r="S492" s="48"/>
      <c r="T492" s="48"/>
      <c r="U492" s="48"/>
      <c r="V492" s="48"/>
    </row>
    <row r="493" spans="2:22" s="46" customFormat="1" ht="15" customHeight="1">
      <c r="B493" s="48"/>
      <c r="C493" s="48"/>
      <c r="D493" s="48"/>
      <c r="E493" s="48"/>
      <c r="F493" s="48"/>
      <c r="G493" s="48"/>
      <c r="H493" s="48"/>
      <c r="I493" s="48"/>
      <c r="J493" s="48"/>
      <c r="K493" s="48"/>
      <c r="L493" s="48"/>
      <c r="M493" s="48"/>
      <c r="N493" s="48"/>
      <c r="O493" s="48"/>
      <c r="P493" s="48"/>
      <c r="Q493" s="48"/>
      <c r="R493" s="48"/>
      <c r="S493" s="48"/>
      <c r="T493" s="48"/>
      <c r="U493" s="48"/>
      <c r="V493" s="48"/>
    </row>
    <row r="494" spans="2:22" s="46" customFormat="1" ht="15" customHeight="1">
      <c r="B494" s="48"/>
      <c r="C494" s="48"/>
      <c r="D494" s="48"/>
      <c r="E494" s="48"/>
      <c r="F494" s="48"/>
      <c r="G494" s="48"/>
      <c r="H494" s="48"/>
      <c r="I494" s="48"/>
      <c r="J494" s="48"/>
      <c r="K494" s="48"/>
      <c r="L494" s="48"/>
      <c r="M494" s="48"/>
      <c r="N494" s="48"/>
      <c r="O494" s="48"/>
      <c r="P494" s="48"/>
      <c r="Q494" s="48"/>
      <c r="R494" s="48"/>
      <c r="S494" s="48"/>
      <c r="T494" s="48"/>
      <c r="U494" s="48"/>
      <c r="V494" s="48"/>
    </row>
    <row r="495" spans="2:22" s="46" customFormat="1" ht="15" customHeight="1">
      <c r="B495" s="48"/>
      <c r="C495" s="48"/>
      <c r="D495" s="48"/>
      <c r="E495" s="48"/>
      <c r="F495" s="48"/>
      <c r="G495" s="48"/>
      <c r="H495" s="48"/>
      <c r="I495" s="48"/>
      <c r="J495" s="48"/>
      <c r="K495" s="48"/>
      <c r="L495" s="48"/>
      <c r="M495" s="48"/>
      <c r="N495" s="48"/>
      <c r="O495" s="48"/>
      <c r="P495" s="48"/>
      <c r="Q495" s="48"/>
      <c r="R495" s="48"/>
      <c r="S495" s="48"/>
      <c r="T495" s="48"/>
      <c r="U495" s="48"/>
      <c r="V495" s="48"/>
    </row>
    <row r="496" spans="2:22" s="46" customFormat="1" ht="15" customHeight="1">
      <c r="B496" s="48"/>
      <c r="C496" s="48"/>
      <c r="D496" s="48"/>
      <c r="E496" s="48"/>
      <c r="F496" s="48"/>
      <c r="G496" s="48"/>
      <c r="H496" s="48"/>
      <c r="I496" s="48"/>
      <c r="J496" s="48"/>
      <c r="K496" s="48"/>
      <c r="L496" s="48"/>
      <c r="M496" s="48"/>
      <c r="N496" s="48"/>
      <c r="O496" s="48"/>
      <c r="P496" s="48"/>
      <c r="Q496" s="48"/>
      <c r="R496" s="48"/>
      <c r="S496" s="48"/>
      <c r="T496" s="48"/>
      <c r="U496" s="48"/>
      <c r="V496" s="48"/>
    </row>
    <row r="497" spans="2:22" s="46" customFormat="1" ht="15" customHeight="1">
      <c r="B497" s="48"/>
      <c r="C497" s="48"/>
      <c r="D497" s="48"/>
      <c r="E497" s="48"/>
      <c r="F497" s="48"/>
      <c r="G497" s="48"/>
      <c r="H497" s="48"/>
      <c r="I497" s="48"/>
      <c r="J497" s="48"/>
      <c r="K497" s="48"/>
      <c r="L497" s="48"/>
      <c r="M497" s="48"/>
      <c r="N497" s="48"/>
      <c r="O497" s="48"/>
      <c r="P497" s="48"/>
      <c r="Q497" s="48"/>
      <c r="R497" s="48"/>
      <c r="S497" s="48"/>
      <c r="T497" s="48"/>
      <c r="U497" s="48"/>
      <c r="V497" s="48"/>
    </row>
    <row r="498" spans="2:22" s="46" customFormat="1" ht="15" customHeight="1">
      <c r="B498" s="48"/>
      <c r="C498" s="48"/>
      <c r="D498" s="48"/>
      <c r="E498" s="48"/>
      <c r="F498" s="48"/>
      <c r="G498" s="48"/>
      <c r="H498" s="48"/>
      <c r="I498" s="48"/>
      <c r="J498" s="48"/>
      <c r="K498" s="48"/>
      <c r="L498" s="48"/>
      <c r="M498" s="48"/>
      <c r="N498" s="48"/>
      <c r="O498" s="48"/>
      <c r="P498" s="48"/>
      <c r="Q498" s="48"/>
      <c r="R498" s="48"/>
      <c r="S498" s="48"/>
      <c r="T498" s="48"/>
      <c r="U498" s="48"/>
      <c r="V498" s="48"/>
    </row>
    <row r="499" spans="2:22" s="46" customFormat="1" ht="15" customHeight="1">
      <c r="B499" s="48"/>
      <c r="C499" s="48"/>
      <c r="D499" s="48"/>
      <c r="E499" s="48"/>
      <c r="F499" s="48"/>
      <c r="G499" s="48"/>
      <c r="H499" s="48"/>
      <c r="I499" s="48"/>
      <c r="J499" s="48"/>
      <c r="K499" s="48"/>
      <c r="L499" s="48"/>
      <c r="M499" s="48"/>
      <c r="N499" s="48"/>
      <c r="O499" s="48"/>
      <c r="P499" s="48"/>
      <c r="Q499" s="48"/>
      <c r="R499" s="48"/>
      <c r="S499" s="48"/>
      <c r="T499" s="48"/>
      <c r="U499" s="48"/>
      <c r="V499" s="48"/>
    </row>
    <row r="500" spans="2:22" s="46" customFormat="1" ht="15" customHeight="1">
      <c r="B500" s="48"/>
      <c r="C500" s="48"/>
      <c r="D500" s="48"/>
      <c r="E500" s="48"/>
      <c r="F500" s="48"/>
      <c r="G500" s="48"/>
      <c r="H500" s="48"/>
      <c r="I500" s="48"/>
      <c r="J500" s="48"/>
      <c r="K500" s="48"/>
      <c r="L500" s="48"/>
      <c r="M500" s="48"/>
      <c r="N500" s="48"/>
      <c r="O500" s="48"/>
      <c r="P500" s="48"/>
      <c r="Q500" s="48"/>
      <c r="R500" s="48"/>
      <c r="S500" s="48"/>
      <c r="T500" s="48"/>
      <c r="U500" s="48"/>
      <c r="V500" s="48"/>
    </row>
    <row r="501" spans="2:22" s="46" customFormat="1" ht="15" customHeight="1">
      <c r="B501" s="48"/>
      <c r="C501" s="48"/>
      <c r="D501" s="48"/>
      <c r="E501" s="48"/>
      <c r="F501" s="48"/>
      <c r="G501" s="48"/>
      <c r="H501" s="48"/>
      <c r="I501" s="48"/>
      <c r="J501" s="48"/>
      <c r="K501" s="48"/>
      <c r="L501" s="48"/>
      <c r="M501" s="48"/>
      <c r="N501" s="48"/>
      <c r="O501" s="48"/>
      <c r="P501" s="48"/>
      <c r="Q501" s="48"/>
      <c r="R501" s="48"/>
      <c r="S501" s="48"/>
      <c r="T501" s="48"/>
      <c r="U501" s="48"/>
      <c r="V501" s="48"/>
    </row>
    <row r="502" spans="2:22" s="46" customFormat="1" ht="15" customHeight="1">
      <c r="B502" s="48"/>
      <c r="C502" s="48"/>
      <c r="D502" s="48"/>
      <c r="E502" s="48"/>
      <c r="F502" s="48"/>
      <c r="G502" s="48"/>
      <c r="H502" s="48"/>
      <c r="I502" s="48"/>
      <c r="J502" s="48"/>
      <c r="K502" s="48"/>
      <c r="L502" s="48"/>
      <c r="M502" s="48"/>
      <c r="N502" s="48"/>
      <c r="O502" s="48"/>
      <c r="P502" s="48"/>
      <c r="Q502" s="48"/>
      <c r="R502" s="48"/>
      <c r="S502" s="48"/>
      <c r="T502" s="48"/>
      <c r="U502" s="48"/>
      <c r="V502" s="48"/>
    </row>
    <row r="503" spans="2:22" s="46" customFormat="1" ht="15" customHeight="1">
      <c r="B503" s="48"/>
      <c r="C503" s="48"/>
      <c r="D503" s="48"/>
      <c r="E503" s="48"/>
      <c r="F503" s="48"/>
      <c r="G503" s="48"/>
      <c r="H503" s="48"/>
      <c r="I503" s="48"/>
      <c r="J503" s="48"/>
      <c r="K503" s="48"/>
      <c r="L503" s="48"/>
      <c r="M503" s="48"/>
      <c r="N503" s="48"/>
      <c r="O503" s="48"/>
      <c r="P503" s="48"/>
      <c r="Q503" s="48"/>
      <c r="R503" s="48"/>
      <c r="S503" s="48"/>
      <c r="T503" s="48"/>
      <c r="U503" s="48"/>
      <c r="V503" s="48"/>
    </row>
    <row r="504" spans="2:22" s="46" customFormat="1" ht="15" customHeight="1">
      <c r="B504" s="48"/>
      <c r="C504" s="48"/>
      <c r="D504" s="48"/>
      <c r="E504" s="48"/>
      <c r="F504" s="48"/>
      <c r="G504" s="48"/>
      <c r="H504" s="48"/>
      <c r="I504" s="48"/>
      <c r="J504" s="48"/>
      <c r="K504" s="48"/>
      <c r="L504" s="48"/>
      <c r="M504" s="48"/>
      <c r="N504" s="48"/>
      <c r="O504" s="48"/>
      <c r="P504" s="48"/>
      <c r="Q504" s="48"/>
      <c r="R504" s="48"/>
      <c r="S504" s="48"/>
      <c r="T504" s="48"/>
      <c r="U504" s="48"/>
      <c r="V504" s="48"/>
    </row>
    <row r="505" spans="2:22" s="46" customFormat="1" ht="15" customHeight="1">
      <c r="B505" s="48"/>
      <c r="C505" s="48"/>
      <c r="D505" s="48"/>
      <c r="E505" s="48"/>
      <c r="F505" s="48"/>
      <c r="G505" s="48"/>
      <c r="H505" s="48"/>
      <c r="I505" s="48"/>
      <c r="J505" s="48"/>
      <c r="K505" s="48"/>
      <c r="L505" s="48"/>
      <c r="M505" s="48"/>
      <c r="N505" s="48"/>
      <c r="O505" s="48"/>
      <c r="P505" s="48"/>
      <c r="Q505" s="48"/>
      <c r="R505" s="48"/>
      <c r="S505" s="48"/>
      <c r="T505" s="48"/>
      <c r="U505" s="48"/>
      <c r="V505" s="48"/>
    </row>
    <row r="506" spans="2:22" s="46" customFormat="1" ht="15" customHeight="1">
      <c r="B506" s="48"/>
      <c r="C506" s="48"/>
      <c r="D506" s="48"/>
      <c r="E506" s="48"/>
      <c r="F506" s="48"/>
      <c r="G506" s="48"/>
      <c r="H506" s="48"/>
      <c r="I506" s="48"/>
      <c r="J506" s="48"/>
      <c r="K506" s="48"/>
      <c r="L506" s="48"/>
      <c r="M506" s="48"/>
      <c r="N506" s="48"/>
      <c r="O506" s="48"/>
      <c r="P506" s="48"/>
      <c r="Q506" s="48"/>
      <c r="R506" s="48"/>
      <c r="S506" s="48"/>
      <c r="T506" s="48"/>
      <c r="U506" s="48"/>
      <c r="V506" s="48"/>
    </row>
    <row r="507" spans="2:22" s="46" customFormat="1" ht="15" customHeight="1">
      <c r="B507" s="48"/>
      <c r="C507" s="48"/>
      <c r="D507" s="48"/>
      <c r="E507" s="48"/>
      <c r="F507" s="48"/>
      <c r="G507" s="48"/>
      <c r="H507" s="48"/>
      <c r="I507" s="48"/>
      <c r="J507" s="48"/>
      <c r="K507" s="48"/>
      <c r="L507" s="48"/>
      <c r="M507" s="48"/>
      <c r="N507" s="48"/>
      <c r="O507" s="48"/>
      <c r="P507" s="48"/>
      <c r="Q507" s="48"/>
      <c r="R507" s="48"/>
      <c r="S507" s="48"/>
      <c r="T507" s="48"/>
      <c r="U507" s="48"/>
      <c r="V507" s="48"/>
    </row>
    <row r="508" spans="2:22" s="46" customFormat="1" ht="15" customHeight="1">
      <c r="B508" s="48"/>
      <c r="C508" s="48"/>
      <c r="D508" s="48"/>
      <c r="E508" s="48"/>
      <c r="F508" s="48"/>
      <c r="G508" s="48"/>
      <c r="H508" s="48"/>
      <c r="I508" s="48"/>
      <c r="J508" s="48"/>
      <c r="K508" s="48"/>
      <c r="L508" s="48"/>
      <c r="M508" s="48"/>
      <c r="N508" s="48"/>
      <c r="O508" s="48"/>
      <c r="P508" s="48"/>
      <c r="Q508" s="48"/>
      <c r="R508" s="48"/>
      <c r="S508" s="48"/>
      <c r="T508" s="48"/>
      <c r="U508" s="48"/>
      <c r="V508" s="48"/>
    </row>
    <row r="509" spans="2:22" s="46" customFormat="1" ht="15" customHeight="1">
      <c r="B509" s="48"/>
      <c r="C509" s="48"/>
      <c r="D509" s="48"/>
      <c r="E509" s="48"/>
      <c r="F509" s="48"/>
      <c r="G509" s="48"/>
      <c r="H509" s="48"/>
      <c r="I509" s="48"/>
      <c r="J509" s="48"/>
      <c r="K509" s="48"/>
      <c r="L509" s="48"/>
      <c r="M509" s="48"/>
      <c r="N509" s="48"/>
      <c r="O509" s="48"/>
      <c r="P509" s="48"/>
      <c r="Q509" s="48"/>
      <c r="R509" s="48"/>
      <c r="S509" s="48"/>
      <c r="T509" s="48"/>
      <c r="U509" s="48"/>
      <c r="V509" s="48"/>
    </row>
    <row r="510" spans="2:22" s="46" customFormat="1" ht="15" customHeight="1">
      <c r="B510" s="48"/>
      <c r="C510" s="48"/>
      <c r="D510" s="48"/>
      <c r="E510" s="48"/>
      <c r="F510" s="48"/>
      <c r="G510" s="48"/>
      <c r="H510" s="48"/>
      <c r="I510" s="48"/>
      <c r="J510" s="48"/>
      <c r="K510" s="48"/>
      <c r="L510" s="48"/>
      <c r="M510" s="48"/>
      <c r="N510" s="48"/>
      <c r="O510" s="48"/>
      <c r="P510" s="48"/>
      <c r="Q510" s="48"/>
      <c r="R510" s="48"/>
      <c r="S510" s="48"/>
      <c r="T510" s="48"/>
      <c r="U510" s="48"/>
      <c r="V510" s="48"/>
    </row>
    <row r="511" spans="2:22" s="46" customFormat="1" ht="15" customHeight="1">
      <c r="B511" s="48"/>
      <c r="C511" s="48"/>
      <c r="D511" s="48"/>
      <c r="E511" s="48"/>
      <c r="F511" s="48"/>
      <c r="G511" s="48"/>
      <c r="H511" s="48"/>
      <c r="I511" s="48"/>
      <c r="J511" s="48"/>
      <c r="K511" s="48"/>
      <c r="L511" s="48"/>
      <c r="M511" s="48"/>
      <c r="N511" s="48"/>
      <c r="O511" s="48"/>
      <c r="P511" s="48"/>
      <c r="Q511" s="48"/>
      <c r="R511" s="48"/>
      <c r="S511" s="48"/>
      <c r="T511" s="48"/>
      <c r="U511" s="48"/>
      <c r="V511" s="48"/>
    </row>
    <row r="512" spans="2:22" s="46" customFormat="1" ht="15" customHeight="1">
      <c r="B512" s="48"/>
      <c r="C512" s="48"/>
      <c r="D512" s="48"/>
      <c r="E512" s="48"/>
      <c r="F512" s="48"/>
      <c r="G512" s="48"/>
      <c r="H512" s="48"/>
      <c r="I512" s="48"/>
      <c r="J512" s="48"/>
      <c r="K512" s="48"/>
      <c r="L512" s="48"/>
      <c r="M512" s="48"/>
      <c r="N512" s="48"/>
      <c r="O512" s="48"/>
      <c r="P512" s="48"/>
      <c r="Q512" s="48"/>
      <c r="R512" s="48"/>
      <c r="S512" s="48"/>
      <c r="T512" s="48"/>
      <c r="U512" s="48"/>
      <c r="V512" s="48"/>
    </row>
    <row r="513" spans="2:22" s="46" customFormat="1" ht="15" customHeight="1">
      <c r="B513" s="48"/>
      <c r="C513" s="48"/>
      <c r="D513" s="48"/>
      <c r="E513" s="48"/>
      <c r="F513" s="48"/>
      <c r="G513" s="48"/>
      <c r="H513" s="48"/>
      <c r="I513" s="48"/>
      <c r="J513" s="48"/>
      <c r="K513" s="48"/>
      <c r="L513" s="48"/>
      <c r="M513" s="48"/>
      <c r="N513" s="48"/>
      <c r="O513" s="48"/>
      <c r="P513" s="48"/>
      <c r="Q513" s="48"/>
      <c r="R513" s="48"/>
      <c r="S513" s="48"/>
      <c r="T513" s="48"/>
      <c r="U513" s="48"/>
      <c r="V513" s="48"/>
    </row>
    <row r="514" spans="2:22" s="46" customFormat="1" ht="15" customHeight="1">
      <c r="B514" s="48"/>
      <c r="C514" s="48"/>
      <c r="D514" s="48"/>
      <c r="E514" s="48"/>
      <c r="F514" s="48"/>
      <c r="G514" s="48"/>
      <c r="H514" s="48"/>
      <c r="I514" s="48"/>
      <c r="J514" s="48"/>
      <c r="K514" s="48"/>
      <c r="L514" s="48"/>
      <c r="M514" s="48"/>
      <c r="N514" s="48"/>
      <c r="O514" s="48"/>
      <c r="P514" s="48"/>
      <c r="Q514" s="48"/>
      <c r="R514" s="48"/>
      <c r="S514" s="48"/>
      <c r="T514" s="48"/>
      <c r="U514" s="48"/>
      <c r="V514" s="48"/>
    </row>
    <row r="515" spans="2:22" s="46" customFormat="1" ht="15" customHeight="1">
      <c r="B515" s="48"/>
      <c r="C515" s="48"/>
      <c r="D515" s="48"/>
      <c r="E515" s="48"/>
      <c r="F515" s="48"/>
      <c r="G515" s="48"/>
      <c r="H515" s="48"/>
      <c r="I515" s="48"/>
      <c r="J515" s="48"/>
      <c r="K515" s="48"/>
      <c r="L515" s="48"/>
      <c r="M515" s="48"/>
      <c r="N515" s="48"/>
      <c r="O515" s="48"/>
      <c r="P515" s="48"/>
      <c r="Q515" s="48"/>
      <c r="R515" s="48"/>
      <c r="S515" s="48"/>
      <c r="T515" s="48"/>
      <c r="U515" s="48"/>
      <c r="V515" s="48"/>
    </row>
    <row r="516" spans="2:22" s="46" customFormat="1" ht="15" customHeight="1">
      <c r="B516" s="48"/>
      <c r="C516" s="48"/>
      <c r="D516" s="48"/>
      <c r="E516" s="48"/>
      <c r="F516" s="48"/>
      <c r="G516" s="48"/>
      <c r="H516" s="48"/>
      <c r="I516" s="48"/>
      <c r="J516" s="48"/>
      <c r="K516" s="48"/>
      <c r="L516" s="48"/>
      <c r="M516" s="48"/>
      <c r="N516" s="48"/>
      <c r="O516" s="48"/>
      <c r="P516" s="48"/>
      <c r="Q516" s="48"/>
      <c r="R516" s="48"/>
      <c r="S516" s="48"/>
      <c r="T516" s="48"/>
      <c r="U516" s="48"/>
      <c r="V516" s="48"/>
    </row>
    <row r="517" spans="2:22" s="46" customFormat="1" ht="15" customHeight="1">
      <c r="B517" s="48"/>
      <c r="C517" s="48"/>
      <c r="D517" s="48"/>
      <c r="E517" s="48"/>
      <c r="F517" s="48"/>
      <c r="G517" s="48"/>
      <c r="H517" s="48"/>
      <c r="I517" s="48"/>
      <c r="J517" s="48"/>
      <c r="K517" s="48"/>
      <c r="L517" s="48"/>
      <c r="M517" s="48"/>
      <c r="N517" s="48"/>
      <c r="O517" s="48"/>
      <c r="P517" s="48"/>
      <c r="Q517" s="48"/>
      <c r="R517" s="48"/>
      <c r="S517" s="48"/>
      <c r="T517" s="48"/>
      <c r="U517" s="48"/>
      <c r="V517" s="48"/>
    </row>
    <row r="518" spans="2:22" s="46" customFormat="1" ht="15" customHeight="1">
      <c r="B518" s="48"/>
      <c r="C518" s="48"/>
      <c r="D518" s="48"/>
      <c r="E518" s="48"/>
      <c r="F518" s="48"/>
      <c r="G518" s="48"/>
      <c r="H518" s="48"/>
      <c r="I518" s="48"/>
      <c r="J518" s="48"/>
      <c r="K518" s="48"/>
      <c r="L518" s="48"/>
      <c r="M518" s="48"/>
      <c r="N518" s="48"/>
      <c r="O518" s="48"/>
      <c r="P518" s="48"/>
      <c r="Q518" s="48"/>
      <c r="R518" s="48"/>
      <c r="S518" s="48"/>
      <c r="T518" s="48"/>
      <c r="U518" s="48"/>
      <c r="V518" s="48"/>
    </row>
    <row r="519" spans="2:22" s="46" customFormat="1" ht="15" customHeight="1">
      <c r="B519" s="48"/>
      <c r="C519" s="48"/>
      <c r="D519" s="48"/>
      <c r="E519" s="48"/>
      <c r="F519" s="48"/>
      <c r="G519" s="48"/>
      <c r="H519" s="48"/>
      <c r="I519" s="48"/>
      <c r="J519" s="48"/>
      <c r="K519" s="48"/>
      <c r="L519" s="48"/>
      <c r="M519" s="48"/>
      <c r="N519" s="48"/>
      <c r="O519" s="48"/>
      <c r="P519" s="48"/>
      <c r="Q519" s="48"/>
      <c r="R519" s="48"/>
      <c r="S519" s="48"/>
      <c r="T519" s="48"/>
      <c r="U519" s="48"/>
      <c r="V519" s="48"/>
    </row>
    <row r="520" spans="2:22" s="46" customFormat="1" ht="15" customHeight="1">
      <c r="B520" s="48"/>
      <c r="C520" s="48"/>
      <c r="D520" s="48"/>
      <c r="E520" s="48"/>
      <c r="F520" s="48"/>
      <c r="G520" s="48"/>
      <c r="H520" s="48"/>
      <c r="I520" s="48"/>
      <c r="J520" s="48"/>
      <c r="K520" s="48"/>
      <c r="L520" s="48"/>
      <c r="M520" s="48"/>
      <c r="N520" s="48"/>
      <c r="O520" s="48"/>
      <c r="P520" s="48"/>
      <c r="Q520" s="48"/>
      <c r="R520" s="48"/>
      <c r="S520" s="48"/>
      <c r="T520" s="48"/>
      <c r="U520" s="48"/>
      <c r="V520" s="48"/>
    </row>
    <row r="521" spans="2:22" s="46" customFormat="1" ht="15" customHeight="1">
      <c r="B521" s="48"/>
      <c r="C521" s="48"/>
      <c r="D521" s="48"/>
      <c r="E521" s="48"/>
      <c r="F521" s="48"/>
      <c r="G521" s="48"/>
      <c r="H521" s="48"/>
      <c r="I521" s="48"/>
      <c r="J521" s="48"/>
      <c r="K521" s="48"/>
      <c r="L521" s="48"/>
      <c r="M521" s="48"/>
      <c r="N521" s="48"/>
      <c r="O521" s="48"/>
      <c r="P521" s="48"/>
      <c r="Q521" s="48"/>
      <c r="R521" s="48"/>
      <c r="S521" s="48"/>
      <c r="T521" s="48"/>
      <c r="U521" s="48"/>
      <c r="V521" s="48"/>
    </row>
    <row r="522" spans="2:22" s="46" customFormat="1" ht="15" customHeight="1">
      <c r="B522" s="48"/>
      <c r="C522" s="48"/>
      <c r="D522" s="48"/>
      <c r="E522" s="48"/>
      <c r="F522" s="48"/>
      <c r="G522" s="48"/>
      <c r="H522" s="48"/>
      <c r="I522" s="48"/>
      <c r="J522" s="48"/>
      <c r="K522" s="48"/>
      <c r="L522" s="48"/>
      <c r="M522" s="48"/>
      <c r="N522" s="48"/>
      <c r="O522" s="48"/>
      <c r="P522" s="48"/>
      <c r="Q522" s="48"/>
      <c r="R522" s="48"/>
      <c r="S522" s="48"/>
      <c r="T522" s="48"/>
      <c r="U522" s="48"/>
      <c r="V522" s="48"/>
    </row>
    <row r="523" spans="2:22" s="46" customFormat="1" ht="15" customHeight="1">
      <c r="B523" s="48"/>
      <c r="C523" s="48"/>
      <c r="D523" s="48"/>
      <c r="E523" s="48"/>
      <c r="F523" s="48"/>
      <c r="G523" s="48"/>
      <c r="H523" s="48"/>
      <c r="I523" s="48"/>
      <c r="J523" s="48"/>
      <c r="K523" s="48"/>
      <c r="L523" s="48"/>
      <c r="M523" s="48"/>
      <c r="N523" s="48"/>
      <c r="O523" s="48"/>
      <c r="P523" s="48"/>
      <c r="Q523" s="48"/>
      <c r="R523" s="48"/>
      <c r="S523" s="48"/>
      <c r="T523" s="48"/>
      <c r="U523" s="48"/>
      <c r="V523" s="48"/>
    </row>
    <row r="524" spans="2:22" s="46" customFormat="1" ht="15" customHeight="1">
      <c r="B524" s="48"/>
      <c r="C524" s="48"/>
      <c r="D524" s="48"/>
      <c r="E524" s="48"/>
      <c r="F524" s="48"/>
      <c r="G524" s="48"/>
      <c r="H524" s="48"/>
      <c r="I524" s="48"/>
      <c r="J524" s="48"/>
      <c r="K524" s="48"/>
      <c r="L524" s="48"/>
      <c r="M524" s="48"/>
      <c r="N524" s="48"/>
      <c r="O524" s="48"/>
      <c r="P524" s="48"/>
      <c r="Q524" s="48"/>
      <c r="R524" s="48"/>
      <c r="S524" s="48"/>
      <c r="T524" s="48"/>
      <c r="U524" s="48"/>
      <c r="V524" s="48"/>
    </row>
    <row r="525" spans="2:22" s="46" customFormat="1" ht="15" customHeight="1">
      <c r="B525" s="48"/>
      <c r="C525" s="48"/>
      <c r="D525" s="48"/>
      <c r="E525" s="48"/>
      <c r="F525" s="48"/>
      <c r="G525" s="48"/>
      <c r="H525" s="48"/>
      <c r="I525" s="48"/>
      <c r="J525" s="48"/>
      <c r="K525" s="48"/>
      <c r="L525" s="48"/>
      <c r="M525" s="48"/>
      <c r="N525" s="48"/>
      <c r="O525" s="48"/>
      <c r="P525" s="48"/>
      <c r="Q525" s="48"/>
      <c r="R525" s="48"/>
      <c r="S525" s="48"/>
      <c r="T525" s="48"/>
      <c r="U525" s="48"/>
      <c r="V525" s="48"/>
    </row>
    <row r="526" spans="2:22" s="46" customFormat="1" ht="15" customHeight="1">
      <c r="B526" s="48"/>
      <c r="C526" s="48"/>
      <c r="D526" s="48"/>
      <c r="E526" s="48"/>
      <c r="F526" s="48"/>
      <c r="G526" s="48"/>
      <c r="H526" s="48"/>
      <c r="I526" s="48"/>
      <c r="J526" s="48"/>
      <c r="K526" s="48"/>
      <c r="L526" s="48"/>
      <c r="M526" s="48"/>
      <c r="N526" s="48"/>
      <c r="O526" s="48"/>
      <c r="P526" s="48"/>
      <c r="Q526" s="48"/>
      <c r="R526" s="48"/>
      <c r="S526" s="48"/>
      <c r="T526" s="48"/>
      <c r="U526" s="48"/>
      <c r="V526" s="48"/>
    </row>
    <row r="527" spans="2:22" s="46" customFormat="1" ht="15" customHeight="1">
      <c r="B527" s="48"/>
      <c r="C527" s="48"/>
      <c r="D527" s="48"/>
      <c r="E527" s="48"/>
      <c r="F527" s="48"/>
      <c r="G527" s="48"/>
      <c r="H527" s="48"/>
      <c r="I527" s="48"/>
      <c r="J527" s="48"/>
      <c r="K527" s="48"/>
      <c r="L527" s="48"/>
      <c r="M527" s="48"/>
      <c r="N527" s="48"/>
      <c r="O527" s="48"/>
      <c r="P527" s="48"/>
      <c r="Q527" s="48"/>
      <c r="R527" s="48"/>
      <c r="S527" s="48"/>
      <c r="T527" s="48"/>
      <c r="U527" s="48"/>
      <c r="V527" s="48"/>
    </row>
  </sheetData>
  <mergeCells count="52">
    <mergeCell ref="AN7:AS7"/>
    <mergeCell ref="AN17:AS17"/>
    <mergeCell ref="Y17:AL17"/>
    <mergeCell ref="AN13:AS13"/>
    <mergeCell ref="AN15:AS15"/>
    <mergeCell ref="Y15:AH15"/>
    <mergeCell ref="AI15:AL15"/>
    <mergeCell ref="Y11:AH11"/>
    <mergeCell ref="B20:V20"/>
    <mergeCell ref="Y1:AS1"/>
    <mergeCell ref="Y5:AH5"/>
    <mergeCell ref="AI3:AL3"/>
    <mergeCell ref="AI5:AL5"/>
    <mergeCell ref="AN3:AS3"/>
    <mergeCell ref="AN5:AS5"/>
    <mergeCell ref="Y13:AH13"/>
    <mergeCell ref="AI11:AL11"/>
    <mergeCell ref="AI13:AL13"/>
    <mergeCell ref="Y7:AH7"/>
    <mergeCell ref="Y9:AH9"/>
    <mergeCell ref="AI7:AL7"/>
    <mergeCell ref="AI9:AL9"/>
    <mergeCell ref="AN11:AS11"/>
    <mergeCell ref="AN9:AS9"/>
    <mergeCell ref="U23:V23"/>
    <mergeCell ref="U27:V27"/>
    <mergeCell ref="U26:V26"/>
    <mergeCell ref="U25:V25"/>
    <mergeCell ref="U24:V24"/>
    <mergeCell ref="B1:V1"/>
    <mergeCell ref="L3:T3"/>
    <mergeCell ref="U3:V3"/>
    <mergeCell ref="B5:K5"/>
    <mergeCell ref="L5:T5"/>
    <mergeCell ref="U5:V5"/>
    <mergeCell ref="B7:K7"/>
    <mergeCell ref="L7:T7"/>
    <mergeCell ref="U7:V7"/>
    <mergeCell ref="B9:K9"/>
    <mergeCell ref="L9:T9"/>
    <mergeCell ref="U9:V9"/>
    <mergeCell ref="U15:V15"/>
    <mergeCell ref="B11:K11"/>
    <mergeCell ref="L11:T11"/>
    <mergeCell ref="U11:V11"/>
    <mergeCell ref="L17:T17"/>
    <mergeCell ref="U17:V17"/>
    <mergeCell ref="B13:K13"/>
    <mergeCell ref="L13:T13"/>
    <mergeCell ref="U13:V13"/>
    <mergeCell ref="B15:K15"/>
    <mergeCell ref="L15:T15"/>
  </mergeCells>
  <printOptions horizontalCentered="1"/>
  <pageMargins left="0.511811023622047" right="0.511811023622047" top="0.55118110236220497" bottom="0.55118110236220497" header="0.31496062992126" footer="0.31496062992126"/>
  <pageSetup paperSize="9" scale="6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BW565"/>
  <sheetViews>
    <sheetView showGridLines="0" zoomScale="79" zoomScaleNormal="79" workbookViewId="0">
      <selection activeCell="AT4" sqref="AT4:BA17"/>
    </sheetView>
  </sheetViews>
  <sheetFormatPr baseColWidth="10" defaultColWidth="11.44140625" defaultRowHeight="14.4"/>
  <cols>
    <col min="1" max="1" width="11" style="238" customWidth="1"/>
    <col min="2" max="10" width="3.33203125" style="48" customWidth="1"/>
    <col min="11" max="11" width="14.109375" style="48" customWidth="1"/>
    <col min="12" max="16" width="3.33203125" style="48" customWidth="1"/>
    <col min="17" max="17" width="11.33203125" style="48" customWidth="1"/>
    <col min="18" max="53" width="3.6640625" style="48" customWidth="1"/>
    <col min="54" max="75" width="3.33203125" style="48" customWidth="1"/>
    <col min="76" max="16384" width="11.44140625" style="48"/>
  </cols>
  <sheetData>
    <row r="1" spans="1:73" ht="15" customHeight="1">
      <c r="B1" s="563" t="s">
        <v>0</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row>
    <row r="2" spans="1:73" ht="3.75" customHeight="1">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row>
    <row r="3" spans="1:73" ht="15" customHeight="1">
      <c r="B3" s="241"/>
      <c r="C3" s="241"/>
      <c r="D3" s="241"/>
      <c r="E3" s="241"/>
      <c r="F3" s="241"/>
      <c r="G3" s="241"/>
      <c r="H3" s="241"/>
      <c r="I3" s="241"/>
      <c r="J3" s="241"/>
      <c r="K3" s="241"/>
      <c r="L3" s="241"/>
      <c r="M3" s="241"/>
      <c r="N3" s="550" t="s">
        <v>1</v>
      </c>
      <c r="O3" s="550"/>
      <c r="P3" s="550"/>
      <c r="Q3" s="550"/>
      <c r="R3" s="550" t="s">
        <v>2</v>
      </c>
      <c r="S3" s="550"/>
      <c r="T3" s="550"/>
      <c r="U3" s="550"/>
      <c r="V3" s="550" t="s">
        <v>3</v>
      </c>
      <c r="W3" s="550"/>
      <c r="X3" s="550"/>
      <c r="Y3" s="550"/>
      <c r="Z3" s="550" t="s">
        <v>4</v>
      </c>
      <c r="AA3" s="550"/>
      <c r="AB3" s="550"/>
      <c r="AC3" s="550"/>
      <c r="AD3" s="550" t="s">
        <v>918</v>
      </c>
      <c r="AE3" s="550"/>
      <c r="AF3" s="550"/>
      <c r="AG3" s="550"/>
      <c r="AH3" s="550" t="s">
        <v>919</v>
      </c>
      <c r="AI3" s="550"/>
      <c r="AJ3" s="550"/>
      <c r="AK3" s="550"/>
      <c r="AL3" s="550" t="s">
        <v>920</v>
      </c>
      <c r="AM3" s="550"/>
      <c r="AN3" s="550"/>
      <c r="AO3" s="550"/>
      <c r="AP3" s="550" t="s">
        <v>921</v>
      </c>
      <c r="AQ3" s="550"/>
      <c r="AR3" s="550"/>
      <c r="AS3" s="550"/>
      <c r="AT3" s="550" t="s">
        <v>922</v>
      </c>
      <c r="AU3" s="550"/>
      <c r="AV3" s="550"/>
      <c r="AW3" s="550"/>
      <c r="AX3" s="550" t="s">
        <v>923</v>
      </c>
      <c r="AY3" s="550"/>
      <c r="AZ3" s="550"/>
      <c r="BA3" s="550"/>
      <c r="BB3" s="550" t="s">
        <v>924</v>
      </c>
      <c r="BC3" s="550"/>
      <c r="BD3" s="550"/>
      <c r="BE3" s="550"/>
      <c r="BF3" s="550" t="s">
        <v>925</v>
      </c>
      <c r="BG3" s="550"/>
      <c r="BH3" s="550"/>
      <c r="BI3" s="550"/>
      <c r="BJ3" s="550" t="s">
        <v>926</v>
      </c>
      <c r="BK3" s="550"/>
      <c r="BL3" s="550"/>
      <c r="BM3" s="550"/>
      <c r="BN3" s="550" t="s">
        <v>927</v>
      </c>
      <c r="BO3" s="550"/>
      <c r="BP3" s="550"/>
      <c r="BQ3" s="550"/>
      <c r="BR3" s="550" t="s">
        <v>928</v>
      </c>
      <c r="BS3" s="550"/>
      <c r="BT3" s="550"/>
      <c r="BU3" s="550"/>
    </row>
    <row r="4" spans="1:73" ht="15" customHeight="1">
      <c r="A4" s="239" t="s">
        <v>5</v>
      </c>
      <c r="B4" s="612" t="s">
        <v>6</v>
      </c>
      <c r="C4" s="612"/>
      <c r="D4" s="612"/>
      <c r="E4" s="612"/>
      <c r="F4" s="612"/>
      <c r="G4" s="612"/>
      <c r="H4" s="612"/>
      <c r="I4" s="612"/>
      <c r="J4" s="612"/>
      <c r="K4" s="612"/>
      <c r="L4" s="613"/>
      <c r="M4" s="614"/>
      <c r="N4" s="615">
        <f>CanonAnual!O14</f>
        <v>4576377.2000619983</v>
      </c>
      <c r="O4" s="615"/>
      <c r="P4" s="615"/>
      <c r="Q4" s="615"/>
      <c r="R4" s="616">
        <f>N4</f>
        <v>4576377.2000619983</v>
      </c>
      <c r="S4" s="616"/>
      <c r="T4" s="616"/>
      <c r="U4" s="616"/>
      <c r="V4" s="616">
        <f>N4</f>
        <v>4576377.2000619983</v>
      </c>
      <c r="W4" s="616"/>
      <c r="X4" s="616"/>
      <c r="Y4" s="616"/>
      <c r="Z4" s="616">
        <f>N4</f>
        <v>4576377.2000619983</v>
      </c>
      <c r="AA4" s="616"/>
      <c r="AB4" s="616"/>
      <c r="AC4" s="616"/>
      <c r="AD4" s="616">
        <f>R4</f>
        <v>4576377.2000619983</v>
      </c>
      <c r="AE4" s="616"/>
      <c r="AF4" s="616"/>
      <c r="AG4" s="616"/>
      <c r="AH4" s="616">
        <f>V4</f>
        <v>4576377.2000619983</v>
      </c>
      <c r="AI4" s="616"/>
      <c r="AJ4" s="616"/>
      <c r="AK4" s="616"/>
      <c r="AL4" s="616">
        <f>Z4</f>
        <v>4576377.2000619983</v>
      </c>
      <c r="AM4" s="616"/>
      <c r="AN4" s="616"/>
      <c r="AO4" s="616"/>
      <c r="AP4" s="616">
        <f>AD4</f>
        <v>4576377.2000619983</v>
      </c>
      <c r="AQ4" s="616"/>
      <c r="AR4" s="616"/>
      <c r="AS4" s="616"/>
      <c r="AT4" s="616"/>
      <c r="AU4" s="616"/>
      <c r="AV4" s="616"/>
      <c r="AW4" s="616"/>
      <c r="AX4" s="616"/>
      <c r="AY4" s="616"/>
      <c r="AZ4" s="616"/>
      <c r="BA4" s="616"/>
      <c r="BB4" s="616"/>
      <c r="BC4" s="616"/>
      <c r="BD4" s="616"/>
      <c r="BE4" s="616"/>
      <c r="BF4" s="616"/>
      <c r="BG4" s="616"/>
      <c r="BH4" s="616"/>
      <c r="BI4" s="616"/>
      <c r="BJ4" s="616"/>
      <c r="BK4" s="616"/>
      <c r="BL4" s="616"/>
      <c r="BM4" s="616"/>
      <c r="BN4" s="616"/>
      <c r="BO4" s="616"/>
      <c r="BP4" s="616"/>
      <c r="BQ4" s="616"/>
      <c r="BR4" s="616"/>
      <c r="BS4" s="616"/>
      <c r="BT4" s="616"/>
      <c r="BU4" s="616"/>
    </row>
    <row r="5" spans="1:73" ht="15" customHeight="1">
      <c r="A5" s="239" t="s">
        <v>7</v>
      </c>
      <c r="B5" s="612" t="s">
        <v>8</v>
      </c>
      <c r="C5" s="612"/>
      <c r="D5" s="612"/>
      <c r="E5" s="612"/>
      <c r="F5" s="612"/>
      <c r="G5" s="612"/>
      <c r="H5" s="612"/>
      <c r="I5" s="612"/>
      <c r="J5" s="612"/>
      <c r="K5" s="612"/>
      <c r="L5" s="613"/>
      <c r="M5" s="614"/>
      <c r="N5" s="615">
        <f>CanonAnual!O16</f>
        <v>1144094.3000154993</v>
      </c>
      <c r="O5" s="615"/>
      <c r="P5" s="615"/>
      <c r="Q5" s="615"/>
      <c r="R5" s="616">
        <f t="shared" ref="R5:R11" si="0">N5</f>
        <v>1144094.3000154993</v>
      </c>
      <c r="S5" s="616"/>
      <c r="T5" s="616"/>
      <c r="U5" s="616"/>
      <c r="V5" s="616">
        <f t="shared" ref="V5:V11" si="1">N5</f>
        <v>1144094.3000154993</v>
      </c>
      <c r="W5" s="616"/>
      <c r="X5" s="616"/>
      <c r="Y5" s="616"/>
      <c r="Z5" s="616">
        <f t="shared" ref="Z5:Z11" si="2">N5</f>
        <v>1144094.3000154993</v>
      </c>
      <c r="AA5" s="616"/>
      <c r="AB5" s="616"/>
      <c r="AC5" s="616"/>
      <c r="AD5" s="616">
        <f t="shared" ref="AD5:AD17" si="3">R5</f>
        <v>1144094.3000154993</v>
      </c>
      <c r="AE5" s="616"/>
      <c r="AF5" s="616"/>
      <c r="AG5" s="616"/>
      <c r="AH5" s="616">
        <f t="shared" ref="AH5:AH17" si="4">V5</f>
        <v>1144094.3000154993</v>
      </c>
      <c r="AI5" s="616"/>
      <c r="AJ5" s="616"/>
      <c r="AK5" s="616"/>
      <c r="AL5" s="616">
        <f t="shared" ref="AL5:AL17" si="5">Z5</f>
        <v>1144094.3000154993</v>
      </c>
      <c r="AM5" s="616"/>
      <c r="AN5" s="616"/>
      <c r="AO5" s="616"/>
      <c r="AP5" s="616">
        <f t="shared" ref="AP5:AP17" si="6">AD5</f>
        <v>1144094.3000154993</v>
      </c>
      <c r="AQ5" s="616"/>
      <c r="AR5" s="616"/>
      <c r="AS5" s="616"/>
      <c r="AT5" s="616"/>
      <c r="AU5" s="616"/>
      <c r="AV5" s="616"/>
      <c r="AW5" s="616"/>
      <c r="AX5" s="616"/>
      <c r="AY5" s="616"/>
      <c r="AZ5" s="616"/>
      <c r="BA5" s="616"/>
      <c r="BB5" s="616"/>
      <c r="BC5" s="616"/>
      <c r="BD5" s="616"/>
      <c r="BE5" s="616"/>
      <c r="BF5" s="616"/>
      <c r="BG5" s="616"/>
      <c r="BH5" s="616"/>
      <c r="BI5" s="616"/>
      <c r="BJ5" s="616"/>
      <c r="BK5" s="616"/>
      <c r="BL5" s="616"/>
      <c r="BM5" s="616"/>
      <c r="BN5" s="616"/>
      <c r="BO5" s="616"/>
      <c r="BP5" s="616"/>
      <c r="BQ5" s="616"/>
      <c r="BR5" s="616"/>
      <c r="BS5" s="616"/>
      <c r="BT5" s="616"/>
      <c r="BU5" s="616"/>
    </row>
    <row r="6" spans="1:73" ht="15" customHeight="1">
      <c r="A6" s="239" t="s">
        <v>9</v>
      </c>
      <c r="B6" s="617" t="s">
        <v>10</v>
      </c>
      <c r="C6" s="617"/>
      <c r="D6" s="617"/>
      <c r="E6" s="617"/>
      <c r="F6" s="617"/>
      <c r="G6" s="617"/>
      <c r="H6" s="617"/>
      <c r="I6" s="617"/>
      <c r="J6" s="617"/>
      <c r="K6" s="617"/>
      <c r="L6" s="618"/>
      <c r="M6" s="618"/>
      <c r="N6" s="619">
        <f>CanonAnual!L10</f>
        <v>4807118.9076281497</v>
      </c>
      <c r="O6" s="619"/>
      <c r="P6" s="619"/>
      <c r="Q6" s="619"/>
      <c r="R6" s="620">
        <f t="shared" si="0"/>
        <v>4807118.9076281497</v>
      </c>
      <c r="S6" s="620"/>
      <c r="T6" s="620"/>
      <c r="U6" s="620"/>
      <c r="V6" s="620">
        <f t="shared" si="1"/>
        <v>4807118.9076281497</v>
      </c>
      <c r="W6" s="620"/>
      <c r="X6" s="620"/>
      <c r="Y6" s="620"/>
      <c r="Z6" s="620">
        <f t="shared" si="2"/>
        <v>4807118.9076281497</v>
      </c>
      <c r="AA6" s="620"/>
      <c r="AB6" s="620"/>
      <c r="AC6" s="620"/>
      <c r="AD6" s="620">
        <f t="shared" si="3"/>
        <v>4807118.9076281497</v>
      </c>
      <c r="AE6" s="620"/>
      <c r="AF6" s="620"/>
      <c r="AG6" s="620"/>
      <c r="AH6" s="620">
        <f t="shared" si="4"/>
        <v>4807118.9076281497</v>
      </c>
      <c r="AI6" s="620"/>
      <c r="AJ6" s="620"/>
      <c r="AK6" s="620"/>
      <c r="AL6" s="620">
        <f t="shared" si="5"/>
        <v>4807118.9076281497</v>
      </c>
      <c r="AM6" s="620"/>
      <c r="AN6" s="620"/>
      <c r="AO6" s="620"/>
      <c r="AP6" s="620">
        <f t="shared" si="6"/>
        <v>4807118.9076281497</v>
      </c>
      <c r="AQ6" s="620"/>
      <c r="AR6" s="620"/>
      <c r="AS6" s="620"/>
      <c r="AT6" s="620"/>
      <c r="AU6" s="620"/>
      <c r="AV6" s="620"/>
      <c r="AW6" s="620"/>
      <c r="AX6" s="620"/>
      <c r="AY6" s="620"/>
      <c r="AZ6" s="620"/>
      <c r="BA6" s="620"/>
      <c r="BB6" s="620"/>
      <c r="BC6" s="620"/>
      <c r="BD6" s="620"/>
      <c r="BE6" s="620"/>
      <c r="BF6" s="620"/>
      <c r="BG6" s="620"/>
      <c r="BH6" s="620"/>
      <c r="BI6" s="620"/>
      <c r="BJ6" s="620"/>
      <c r="BK6" s="620"/>
      <c r="BL6" s="620"/>
      <c r="BM6" s="620"/>
      <c r="BN6" s="620"/>
      <c r="BO6" s="620"/>
      <c r="BP6" s="620"/>
      <c r="BQ6" s="620"/>
      <c r="BR6" s="620"/>
      <c r="BS6" s="620"/>
      <c r="BT6" s="620"/>
      <c r="BU6" s="620"/>
    </row>
    <row r="7" spans="1:73" ht="15" customHeight="1">
      <c r="A7" s="239" t="s">
        <v>11</v>
      </c>
      <c r="B7" s="612" t="s">
        <v>12</v>
      </c>
      <c r="C7" s="612"/>
      <c r="D7" s="612"/>
      <c r="E7" s="612"/>
      <c r="F7" s="612"/>
      <c r="G7" s="612"/>
      <c r="H7" s="612"/>
      <c r="I7" s="612"/>
      <c r="J7" s="612"/>
      <c r="K7" s="612"/>
      <c r="L7" s="613">
        <f>CanonAnual!L11</f>
        <v>0.13</v>
      </c>
      <c r="M7" s="614"/>
      <c r="N7" s="615">
        <f>CanonAnual!O11</f>
        <v>624925.45799165952</v>
      </c>
      <c r="O7" s="615"/>
      <c r="P7" s="615"/>
      <c r="Q7" s="615"/>
      <c r="R7" s="616">
        <f t="shared" si="0"/>
        <v>624925.45799165952</v>
      </c>
      <c r="S7" s="616"/>
      <c r="T7" s="616"/>
      <c r="U7" s="616"/>
      <c r="V7" s="616">
        <f t="shared" si="1"/>
        <v>624925.45799165952</v>
      </c>
      <c r="W7" s="616"/>
      <c r="X7" s="616"/>
      <c r="Y7" s="616"/>
      <c r="Z7" s="616">
        <f t="shared" si="2"/>
        <v>624925.45799165952</v>
      </c>
      <c r="AA7" s="616"/>
      <c r="AB7" s="616"/>
      <c r="AC7" s="616"/>
      <c r="AD7" s="616">
        <f t="shared" si="3"/>
        <v>624925.45799165952</v>
      </c>
      <c r="AE7" s="616"/>
      <c r="AF7" s="616"/>
      <c r="AG7" s="616"/>
      <c r="AH7" s="616">
        <f t="shared" si="4"/>
        <v>624925.45799165952</v>
      </c>
      <c r="AI7" s="616"/>
      <c r="AJ7" s="616"/>
      <c r="AK7" s="616"/>
      <c r="AL7" s="616">
        <f t="shared" si="5"/>
        <v>624925.45799165952</v>
      </c>
      <c r="AM7" s="616"/>
      <c r="AN7" s="616"/>
      <c r="AO7" s="616"/>
      <c r="AP7" s="616">
        <f t="shared" si="6"/>
        <v>624925.45799165952</v>
      </c>
      <c r="AQ7" s="616"/>
      <c r="AR7" s="616"/>
      <c r="AS7" s="616"/>
      <c r="AT7" s="616"/>
      <c r="AU7" s="616"/>
      <c r="AV7" s="616"/>
      <c r="AW7" s="616"/>
      <c r="AX7" s="616"/>
      <c r="AY7" s="616"/>
      <c r="AZ7" s="616"/>
      <c r="BA7" s="616"/>
      <c r="BB7" s="616"/>
      <c r="BC7" s="616"/>
      <c r="BD7" s="616"/>
      <c r="BE7" s="616"/>
      <c r="BF7" s="616"/>
      <c r="BG7" s="616"/>
      <c r="BH7" s="616"/>
      <c r="BI7" s="616"/>
      <c r="BJ7" s="616"/>
      <c r="BK7" s="616"/>
      <c r="BL7" s="616"/>
      <c r="BM7" s="616"/>
      <c r="BN7" s="616"/>
      <c r="BO7" s="616"/>
      <c r="BP7" s="616"/>
      <c r="BQ7" s="616"/>
      <c r="BR7" s="616"/>
      <c r="BS7" s="616"/>
      <c r="BT7" s="616"/>
      <c r="BU7" s="616"/>
    </row>
    <row r="8" spans="1:73" ht="15" customHeight="1">
      <c r="A8" s="239" t="s">
        <v>13</v>
      </c>
      <c r="B8" s="612" t="s">
        <v>1033</v>
      </c>
      <c r="C8" s="612"/>
      <c r="D8" s="612"/>
      <c r="E8" s="612"/>
      <c r="F8" s="612"/>
      <c r="G8" s="612"/>
      <c r="H8" s="612"/>
      <c r="I8" s="612"/>
      <c r="J8" s="612"/>
      <c r="K8" s="612"/>
      <c r="L8" s="613">
        <f>CanonAnual!L12</f>
        <v>0.06</v>
      </c>
      <c r="M8" s="614"/>
      <c r="N8" s="615">
        <f>CanonAnual!O12</f>
        <v>288427.13445768895</v>
      </c>
      <c r="O8" s="615"/>
      <c r="P8" s="615"/>
      <c r="Q8" s="615"/>
      <c r="R8" s="616">
        <f t="shared" si="0"/>
        <v>288427.13445768895</v>
      </c>
      <c r="S8" s="616"/>
      <c r="T8" s="616"/>
      <c r="U8" s="616"/>
      <c r="V8" s="616">
        <f t="shared" si="1"/>
        <v>288427.13445768895</v>
      </c>
      <c r="W8" s="616"/>
      <c r="X8" s="616"/>
      <c r="Y8" s="616"/>
      <c r="Z8" s="616">
        <f t="shared" si="2"/>
        <v>288427.13445768895</v>
      </c>
      <c r="AA8" s="616"/>
      <c r="AB8" s="616"/>
      <c r="AC8" s="616"/>
      <c r="AD8" s="616">
        <f t="shared" si="3"/>
        <v>288427.13445768895</v>
      </c>
      <c r="AE8" s="616"/>
      <c r="AF8" s="616"/>
      <c r="AG8" s="616"/>
      <c r="AH8" s="616">
        <f t="shared" si="4"/>
        <v>288427.13445768895</v>
      </c>
      <c r="AI8" s="616"/>
      <c r="AJ8" s="616"/>
      <c r="AK8" s="616"/>
      <c r="AL8" s="616">
        <f t="shared" si="5"/>
        <v>288427.13445768895</v>
      </c>
      <c r="AM8" s="616"/>
      <c r="AN8" s="616"/>
      <c r="AO8" s="616"/>
      <c r="AP8" s="616">
        <f t="shared" si="6"/>
        <v>288427.13445768895</v>
      </c>
      <c r="AQ8" s="616"/>
      <c r="AR8" s="616"/>
      <c r="AS8" s="616"/>
      <c r="AT8" s="616"/>
      <c r="AU8" s="616"/>
      <c r="AV8" s="616"/>
      <c r="AW8" s="616"/>
      <c r="AX8" s="616"/>
      <c r="AY8" s="616"/>
      <c r="AZ8" s="616"/>
      <c r="BA8" s="616"/>
      <c r="BB8" s="616"/>
      <c r="BC8" s="616"/>
      <c r="BD8" s="616"/>
      <c r="BE8" s="616"/>
      <c r="BF8" s="616"/>
      <c r="BG8" s="616"/>
      <c r="BH8" s="616"/>
      <c r="BI8" s="616"/>
      <c r="BJ8" s="616"/>
      <c r="BK8" s="616"/>
      <c r="BL8" s="616"/>
      <c r="BM8" s="616"/>
      <c r="BN8" s="616"/>
      <c r="BO8" s="616"/>
      <c r="BP8" s="616"/>
      <c r="BQ8" s="616"/>
      <c r="BR8" s="616"/>
      <c r="BS8" s="616"/>
      <c r="BT8" s="616"/>
      <c r="BU8" s="616"/>
    </row>
    <row r="9" spans="1:73" ht="15" customHeight="1">
      <c r="A9" s="239" t="s">
        <v>14</v>
      </c>
      <c r="B9" s="617" t="s">
        <v>15</v>
      </c>
      <c r="C9" s="617"/>
      <c r="D9" s="617"/>
      <c r="E9" s="617"/>
      <c r="F9" s="617"/>
      <c r="G9" s="617"/>
      <c r="H9" s="617"/>
      <c r="I9" s="617"/>
      <c r="J9" s="617"/>
      <c r="K9" s="617"/>
      <c r="L9" s="618"/>
      <c r="M9" s="618"/>
      <c r="N9" s="621">
        <f>CanonAnual!L13</f>
        <v>5720471.5000774981</v>
      </c>
      <c r="O9" s="621"/>
      <c r="P9" s="621"/>
      <c r="Q9" s="621"/>
      <c r="R9" s="622">
        <f t="shared" si="0"/>
        <v>5720471.5000774981</v>
      </c>
      <c r="S9" s="622"/>
      <c r="T9" s="622"/>
      <c r="U9" s="622"/>
      <c r="V9" s="622">
        <f t="shared" si="1"/>
        <v>5720471.5000774981</v>
      </c>
      <c r="W9" s="622"/>
      <c r="X9" s="622"/>
      <c r="Y9" s="622"/>
      <c r="Z9" s="622">
        <f t="shared" si="2"/>
        <v>5720471.5000774981</v>
      </c>
      <c r="AA9" s="622"/>
      <c r="AB9" s="622"/>
      <c r="AC9" s="622"/>
      <c r="AD9" s="622">
        <f t="shared" si="3"/>
        <v>5720471.5000774981</v>
      </c>
      <c r="AE9" s="622"/>
      <c r="AF9" s="622"/>
      <c r="AG9" s="622"/>
      <c r="AH9" s="622">
        <f t="shared" si="4"/>
        <v>5720471.5000774981</v>
      </c>
      <c r="AI9" s="622"/>
      <c r="AJ9" s="622"/>
      <c r="AK9" s="622"/>
      <c r="AL9" s="622">
        <f t="shared" si="5"/>
        <v>5720471.5000774981</v>
      </c>
      <c r="AM9" s="622"/>
      <c r="AN9" s="622"/>
      <c r="AO9" s="622"/>
      <c r="AP9" s="622">
        <f t="shared" si="6"/>
        <v>5720471.5000774981</v>
      </c>
      <c r="AQ9" s="622"/>
      <c r="AR9" s="622"/>
      <c r="AS9" s="622"/>
      <c r="AT9" s="622"/>
      <c r="AU9" s="622"/>
      <c r="AV9" s="622"/>
      <c r="AW9" s="622"/>
      <c r="AX9" s="622"/>
      <c r="AY9" s="622"/>
      <c r="AZ9" s="622"/>
      <c r="BA9" s="622"/>
      <c r="BB9" s="620"/>
      <c r="BC9" s="620"/>
      <c r="BD9" s="620"/>
      <c r="BE9" s="620"/>
      <c r="BF9" s="620"/>
      <c r="BG9" s="620"/>
      <c r="BH9" s="620"/>
      <c r="BI9" s="620"/>
      <c r="BJ9" s="620"/>
      <c r="BK9" s="620"/>
      <c r="BL9" s="620"/>
      <c r="BM9" s="620"/>
      <c r="BN9" s="620"/>
      <c r="BO9" s="620"/>
      <c r="BP9" s="620"/>
      <c r="BQ9" s="620"/>
      <c r="BR9" s="620"/>
      <c r="BS9" s="620"/>
      <c r="BT9" s="620"/>
      <c r="BU9" s="620"/>
    </row>
    <row r="10" spans="1:73" ht="15" customHeight="1">
      <c r="A10" s="239" t="s">
        <v>16</v>
      </c>
      <c r="B10" s="612" t="s">
        <v>17</v>
      </c>
      <c r="C10" s="612"/>
      <c r="D10" s="612"/>
      <c r="E10" s="612"/>
      <c r="F10" s="612"/>
      <c r="G10" s="612"/>
      <c r="H10" s="612"/>
      <c r="I10" s="612"/>
      <c r="J10" s="612"/>
      <c r="K10" s="612"/>
      <c r="L10" s="613">
        <v>0.21</v>
      </c>
      <c r="M10" s="614"/>
      <c r="N10" s="615">
        <f>CanonAnual!O15</f>
        <v>961039.2120130196</v>
      </c>
      <c r="O10" s="615"/>
      <c r="P10" s="615"/>
      <c r="Q10" s="615"/>
      <c r="R10" s="616">
        <f t="shared" si="0"/>
        <v>961039.2120130196</v>
      </c>
      <c r="S10" s="616"/>
      <c r="T10" s="616"/>
      <c r="U10" s="616"/>
      <c r="V10" s="616">
        <f t="shared" si="1"/>
        <v>961039.2120130196</v>
      </c>
      <c r="W10" s="616"/>
      <c r="X10" s="616"/>
      <c r="Y10" s="616"/>
      <c r="Z10" s="616">
        <f t="shared" si="2"/>
        <v>961039.2120130196</v>
      </c>
      <c r="AA10" s="616"/>
      <c r="AB10" s="616"/>
      <c r="AC10" s="616"/>
      <c r="AD10" s="616">
        <f t="shared" si="3"/>
        <v>961039.2120130196</v>
      </c>
      <c r="AE10" s="616"/>
      <c r="AF10" s="616"/>
      <c r="AG10" s="616"/>
      <c r="AH10" s="616">
        <f t="shared" si="4"/>
        <v>961039.2120130196</v>
      </c>
      <c r="AI10" s="616"/>
      <c r="AJ10" s="616"/>
      <c r="AK10" s="616"/>
      <c r="AL10" s="616">
        <f t="shared" si="5"/>
        <v>961039.2120130196</v>
      </c>
      <c r="AM10" s="616"/>
      <c r="AN10" s="616"/>
      <c r="AO10" s="616"/>
      <c r="AP10" s="616">
        <f t="shared" si="6"/>
        <v>961039.2120130196</v>
      </c>
      <c r="AQ10" s="616"/>
      <c r="AR10" s="616"/>
      <c r="AS10" s="616"/>
      <c r="AT10" s="616"/>
      <c r="AU10" s="616"/>
      <c r="AV10" s="616"/>
      <c r="AW10" s="616"/>
      <c r="AX10" s="616"/>
      <c r="AY10" s="616"/>
      <c r="AZ10" s="616"/>
      <c r="BA10" s="616"/>
      <c r="BB10" s="616"/>
      <c r="BC10" s="616"/>
      <c r="BD10" s="616"/>
      <c r="BE10" s="616"/>
      <c r="BF10" s="616"/>
      <c r="BG10" s="616"/>
      <c r="BH10" s="616"/>
      <c r="BI10" s="616"/>
      <c r="BJ10" s="616"/>
      <c r="BK10" s="616"/>
      <c r="BL10" s="616"/>
      <c r="BM10" s="616"/>
      <c r="BN10" s="616"/>
      <c r="BO10" s="616"/>
      <c r="BP10" s="616"/>
      <c r="BQ10" s="616"/>
      <c r="BR10" s="616"/>
      <c r="BS10" s="616"/>
      <c r="BT10" s="616"/>
      <c r="BU10" s="616"/>
    </row>
    <row r="11" spans="1:73" ht="15" customHeight="1">
      <c r="A11" s="239" t="s">
        <v>18</v>
      </c>
      <c r="B11" s="612" t="s">
        <v>19</v>
      </c>
      <c r="C11" s="612"/>
      <c r="D11" s="612"/>
      <c r="E11" s="612"/>
      <c r="F11" s="612"/>
      <c r="G11" s="612"/>
      <c r="H11" s="612"/>
      <c r="I11" s="612"/>
      <c r="J11" s="612"/>
      <c r="K11" s="612"/>
      <c r="L11" s="613">
        <v>0.1</v>
      </c>
      <c r="M11" s="614"/>
      <c r="N11" s="615">
        <f>CanonAnual!O17</f>
        <v>114409.43000154995</v>
      </c>
      <c r="O11" s="615"/>
      <c r="P11" s="615"/>
      <c r="Q11" s="615"/>
      <c r="R11" s="616">
        <f t="shared" si="0"/>
        <v>114409.43000154995</v>
      </c>
      <c r="S11" s="616"/>
      <c r="T11" s="616"/>
      <c r="U11" s="616"/>
      <c r="V11" s="616">
        <f t="shared" si="1"/>
        <v>114409.43000154995</v>
      </c>
      <c r="W11" s="616"/>
      <c r="X11" s="616"/>
      <c r="Y11" s="616"/>
      <c r="Z11" s="616">
        <f t="shared" si="2"/>
        <v>114409.43000154995</v>
      </c>
      <c r="AA11" s="616"/>
      <c r="AB11" s="616"/>
      <c r="AC11" s="616"/>
      <c r="AD11" s="616">
        <f t="shared" si="3"/>
        <v>114409.43000154995</v>
      </c>
      <c r="AE11" s="616"/>
      <c r="AF11" s="616"/>
      <c r="AG11" s="616"/>
      <c r="AH11" s="616">
        <f t="shared" si="4"/>
        <v>114409.43000154995</v>
      </c>
      <c r="AI11" s="616"/>
      <c r="AJ11" s="616"/>
      <c r="AK11" s="616"/>
      <c r="AL11" s="616">
        <f t="shared" si="5"/>
        <v>114409.43000154995</v>
      </c>
      <c r="AM11" s="616"/>
      <c r="AN11" s="616"/>
      <c r="AO11" s="616"/>
      <c r="AP11" s="616">
        <f t="shared" si="6"/>
        <v>114409.43000154995</v>
      </c>
      <c r="AQ11" s="616"/>
      <c r="AR11" s="616"/>
      <c r="AS11" s="616"/>
      <c r="AT11" s="616"/>
      <c r="AU11" s="616"/>
      <c r="AV11" s="616"/>
      <c r="AW11" s="616"/>
      <c r="AX11" s="616"/>
      <c r="AY11" s="616"/>
      <c r="AZ11" s="616"/>
      <c r="BA11" s="616"/>
      <c r="BB11" s="616"/>
      <c r="BC11" s="616"/>
      <c r="BD11" s="616"/>
      <c r="BE11" s="616"/>
      <c r="BF11" s="616"/>
      <c r="BG11" s="616"/>
      <c r="BH11" s="616"/>
      <c r="BI11" s="616"/>
      <c r="BJ11" s="616"/>
      <c r="BK11" s="616"/>
      <c r="BL11" s="616"/>
      <c r="BM11" s="616"/>
      <c r="BN11" s="616"/>
      <c r="BO11" s="616"/>
      <c r="BP11" s="616"/>
      <c r="BQ11" s="616"/>
      <c r="BR11" s="616"/>
      <c r="BS11" s="616"/>
      <c r="BT11" s="616"/>
      <c r="BU11" s="616"/>
    </row>
    <row r="12" spans="1:73" ht="15" customHeight="1">
      <c r="A12" s="239" t="s">
        <v>20</v>
      </c>
      <c r="B12" s="623" t="s">
        <v>21</v>
      </c>
      <c r="C12" s="623"/>
      <c r="D12" s="623"/>
      <c r="E12" s="623"/>
      <c r="F12" s="623"/>
      <c r="G12" s="623"/>
      <c r="H12" s="623"/>
      <c r="I12" s="623"/>
      <c r="J12" s="623"/>
      <c r="K12" s="623"/>
      <c r="L12" s="624"/>
      <c r="M12" s="625"/>
      <c r="N12" s="626">
        <f>CanonAnual!O18</f>
        <v>6795920.1420920677</v>
      </c>
      <c r="O12" s="626"/>
      <c r="P12" s="626"/>
      <c r="Q12" s="626"/>
      <c r="R12" s="627">
        <f t="shared" ref="R12:R17" si="7">N12</f>
        <v>6795920.1420920677</v>
      </c>
      <c r="S12" s="627"/>
      <c r="T12" s="627"/>
      <c r="U12" s="627"/>
      <c r="V12" s="627">
        <f t="shared" ref="V12:V17" si="8">N12</f>
        <v>6795920.1420920677</v>
      </c>
      <c r="W12" s="627"/>
      <c r="X12" s="627"/>
      <c r="Y12" s="627"/>
      <c r="Z12" s="627">
        <f t="shared" ref="Z12:Z17" si="9">N12</f>
        <v>6795920.1420920677</v>
      </c>
      <c r="AA12" s="627"/>
      <c r="AB12" s="627"/>
      <c r="AC12" s="627"/>
      <c r="AD12" s="627">
        <f t="shared" si="3"/>
        <v>6795920.1420920677</v>
      </c>
      <c r="AE12" s="627"/>
      <c r="AF12" s="627"/>
      <c r="AG12" s="627"/>
      <c r="AH12" s="627">
        <f t="shared" si="4"/>
        <v>6795920.1420920677</v>
      </c>
      <c r="AI12" s="627"/>
      <c r="AJ12" s="627"/>
      <c r="AK12" s="627"/>
      <c r="AL12" s="627">
        <f t="shared" si="5"/>
        <v>6795920.1420920677</v>
      </c>
      <c r="AM12" s="627"/>
      <c r="AN12" s="627"/>
      <c r="AO12" s="627"/>
      <c r="AP12" s="627">
        <f t="shared" si="6"/>
        <v>6795920.1420920677</v>
      </c>
      <c r="AQ12" s="627"/>
      <c r="AR12" s="627"/>
      <c r="AS12" s="627"/>
      <c r="AT12" s="627"/>
      <c r="AU12" s="627"/>
      <c r="AV12" s="627"/>
      <c r="AW12" s="627"/>
      <c r="AX12" s="627"/>
      <c r="AY12" s="627"/>
      <c r="AZ12" s="627"/>
      <c r="BA12" s="627"/>
      <c r="BB12" s="627"/>
      <c r="BC12" s="627"/>
      <c r="BD12" s="627"/>
      <c r="BE12" s="627"/>
      <c r="BF12" s="627"/>
      <c r="BG12" s="627"/>
      <c r="BH12" s="627"/>
      <c r="BI12" s="627"/>
      <c r="BJ12" s="627"/>
      <c r="BK12" s="627"/>
      <c r="BL12" s="627"/>
      <c r="BM12" s="627"/>
      <c r="BN12" s="627"/>
      <c r="BO12" s="627"/>
      <c r="BP12" s="627"/>
      <c r="BQ12" s="627"/>
      <c r="BR12" s="627"/>
      <c r="BS12" s="627"/>
      <c r="BT12" s="627"/>
      <c r="BU12" s="627"/>
    </row>
    <row r="13" spans="1:73" ht="15" customHeight="1">
      <c r="A13" s="239" t="s">
        <v>22</v>
      </c>
      <c r="B13" s="612" t="s">
        <v>23</v>
      </c>
      <c r="C13" s="612"/>
      <c r="D13" s="612"/>
      <c r="E13" s="612"/>
      <c r="F13" s="612"/>
      <c r="G13" s="612"/>
      <c r="H13" s="612"/>
      <c r="I13" s="612"/>
      <c r="J13" s="612"/>
      <c r="K13" s="612"/>
      <c r="L13" s="613"/>
      <c r="M13" s="614"/>
      <c r="N13" s="615">
        <f>'Trabajos Medición-Suministro'!P39</f>
        <v>0</v>
      </c>
      <c r="O13" s="615"/>
      <c r="P13" s="615"/>
      <c r="Q13" s="615"/>
      <c r="R13" s="616">
        <f t="shared" si="7"/>
        <v>0</v>
      </c>
      <c r="S13" s="616"/>
      <c r="T13" s="616"/>
      <c r="U13" s="616"/>
      <c r="V13" s="616">
        <f t="shared" si="8"/>
        <v>0</v>
      </c>
      <c r="W13" s="616"/>
      <c r="X13" s="616"/>
      <c r="Y13" s="616"/>
      <c r="Z13" s="616">
        <f t="shared" si="9"/>
        <v>0</v>
      </c>
      <c r="AA13" s="616"/>
      <c r="AB13" s="616"/>
      <c r="AC13" s="616"/>
      <c r="AD13" s="616">
        <f t="shared" si="3"/>
        <v>0</v>
      </c>
      <c r="AE13" s="616"/>
      <c r="AF13" s="616"/>
      <c r="AG13" s="616"/>
      <c r="AH13" s="616">
        <f t="shared" si="4"/>
        <v>0</v>
      </c>
      <c r="AI13" s="616"/>
      <c r="AJ13" s="616"/>
      <c r="AK13" s="616"/>
      <c r="AL13" s="616">
        <f t="shared" si="5"/>
        <v>0</v>
      </c>
      <c r="AM13" s="616"/>
      <c r="AN13" s="616"/>
      <c r="AO13" s="616"/>
      <c r="AP13" s="616">
        <f t="shared" si="6"/>
        <v>0</v>
      </c>
      <c r="AQ13" s="616"/>
      <c r="AR13" s="616"/>
      <c r="AS13" s="616"/>
      <c r="AT13" s="616"/>
      <c r="AU13" s="616"/>
      <c r="AV13" s="616"/>
      <c r="AW13" s="616"/>
      <c r="AX13" s="616"/>
      <c r="AY13" s="616"/>
      <c r="AZ13" s="616"/>
      <c r="BA13" s="616"/>
      <c r="BB13" s="616"/>
      <c r="BC13" s="616"/>
      <c r="BD13" s="616"/>
      <c r="BE13" s="616"/>
      <c r="BF13" s="616"/>
      <c r="BG13" s="616"/>
      <c r="BH13" s="616"/>
      <c r="BI13" s="616"/>
      <c r="BJ13" s="616"/>
      <c r="BK13" s="616"/>
      <c r="BL13" s="616"/>
      <c r="BM13" s="616"/>
      <c r="BN13" s="616"/>
      <c r="BO13" s="616"/>
      <c r="BP13" s="616"/>
      <c r="BQ13" s="616"/>
      <c r="BR13" s="616"/>
      <c r="BS13" s="616"/>
      <c r="BT13" s="616"/>
      <c r="BU13" s="616"/>
    </row>
    <row r="14" spans="1:73" ht="15" customHeight="1">
      <c r="A14" s="239" t="s">
        <v>24</v>
      </c>
      <c r="B14" s="612" t="s">
        <v>25</v>
      </c>
      <c r="C14" s="612"/>
      <c r="D14" s="612"/>
      <c r="E14" s="612"/>
      <c r="F14" s="612"/>
      <c r="G14" s="612"/>
      <c r="H14" s="612"/>
      <c r="I14" s="612"/>
      <c r="J14" s="612"/>
      <c r="K14" s="612"/>
      <c r="L14" s="613"/>
      <c r="M14" s="614"/>
      <c r="N14" s="615">
        <f>'Trabajos Medición-Suministro'!P40</f>
        <v>0</v>
      </c>
      <c r="O14" s="615"/>
      <c r="P14" s="615"/>
      <c r="Q14" s="615"/>
      <c r="R14" s="616">
        <f t="shared" si="7"/>
        <v>0</v>
      </c>
      <c r="S14" s="616"/>
      <c r="T14" s="616"/>
      <c r="U14" s="616"/>
      <c r="V14" s="616">
        <f t="shared" si="8"/>
        <v>0</v>
      </c>
      <c r="W14" s="616"/>
      <c r="X14" s="616"/>
      <c r="Y14" s="616"/>
      <c r="Z14" s="616">
        <f t="shared" si="9"/>
        <v>0</v>
      </c>
      <c r="AA14" s="616"/>
      <c r="AB14" s="616"/>
      <c r="AC14" s="616"/>
      <c r="AD14" s="616">
        <f t="shared" si="3"/>
        <v>0</v>
      </c>
      <c r="AE14" s="616"/>
      <c r="AF14" s="616"/>
      <c r="AG14" s="616"/>
      <c r="AH14" s="616">
        <f t="shared" si="4"/>
        <v>0</v>
      </c>
      <c r="AI14" s="616"/>
      <c r="AJ14" s="616"/>
      <c r="AK14" s="616"/>
      <c r="AL14" s="616">
        <f t="shared" si="5"/>
        <v>0</v>
      </c>
      <c r="AM14" s="616"/>
      <c r="AN14" s="616"/>
      <c r="AO14" s="616"/>
      <c r="AP14" s="616">
        <f t="shared" si="6"/>
        <v>0</v>
      </c>
      <c r="AQ14" s="616"/>
      <c r="AR14" s="616"/>
      <c r="AS14" s="616"/>
      <c r="AT14" s="616"/>
      <c r="AU14" s="616"/>
      <c r="AV14" s="616"/>
      <c r="AW14" s="616"/>
      <c r="AX14" s="616"/>
      <c r="AY14" s="616"/>
      <c r="AZ14" s="616"/>
      <c r="BA14" s="616"/>
      <c r="BB14" s="616"/>
      <c r="BC14" s="616"/>
      <c r="BD14" s="616"/>
      <c r="BE14" s="616"/>
      <c r="BF14" s="616"/>
      <c r="BG14" s="616"/>
      <c r="BH14" s="616"/>
      <c r="BI14" s="616"/>
      <c r="BJ14" s="616"/>
      <c r="BK14" s="616"/>
      <c r="BL14" s="616"/>
      <c r="BM14" s="616"/>
      <c r="BN14" s="616"/>
      <c r="BO14" s="616"/>
      <c r="BP14" s="616"/>
      <c r="BQ14" s="616"/>
      <c r="BR14" s="616"/>
      <c r="BS14" s="616"/>
      <c r="BT14" s="616"/>
      <c r="BU14" s="616"/>
    </row>
    <row r="15" spans="1:73" ht="15" customHeight="1">
      <c r="A15" s="239" t="s">
        <v>26</v>
      </c>
      <c r="B15" s="623" t="s">
        <v>27</v>
      </c>
      <c r="C15" s="623"/>
      <c r="D15" s="623"/>
      <c r="E15" s="623"/>
      <c r="F15" s="623"/>
      <c r="G15" s="623"/>
      <c r="H15" s="623"/>
      <c r="I15" s="623"/>
      <c r="J15" s="623"/>
      <c r="K15" s="623"/>
      <c r="L15" s="624"/>
      <c r="M15" s="625"/>
      <c r="N15" s="626">
        <f>'Trabajos Medición-Suministro'!P41</f>
        <v>0</v>
      </c>
      <c r="O15" s="626"/>
      <c r="P15" s="626"/>
      <c r="Q15" s="626"/>
      <c r="R15" s="627">
        <f t="shared" si="7"/>
        <v>0</v>
      </c>
      <c r="S15" s="627"/>
      <c r="T15" s="627"/>
      <c r="U15" s="627"/>
      <c r="V15" s="627">
        <f t="shared" si="8"/>
        <v>0</v>
      </c>
      <c r="W15" s="627"/>
      <c r="X15" s="627"/>
      <c r="Y15" s="627"/>
      <c r="Z15" s="627">
        <f t="shared" si="9"/>
        <v>0</v>
      </c>
      <c r="AA15" s="627"/>
      <c r="AB15" s="627"/>
      <c r="AC15" s="627"/>
      <c r="AD15" s="627">
        <f t="shared" si="3"/>
        <v>0</v>
      </c>
      <c r="AE15" s="627"/>
      <c r="AF15" s="627"/>
      <c r="AG15" s="627"/>
      <c r="AH15" s="627">
        <f t="shared" si="4"/>
        <v>0</v>
      </c>
      <c r="AI15" s="627"/>
      <c r="AJ15" s="627"/>
      <c r="AK15" s="627"/>
      <c r="AL15" s="627">
        <f t="shared" si="5"/>
        <v>0</v>
      </c>
      <c r="AM15" s="627"/>
      <c r="AN15" s="627"/>
      <c r="AO15" s="627"/>
      <c r="AP15" s="627">
        <f t="shared" si="6"/>
        <v>0</v>
      </c>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row>
    <row r="16" spans="1:73" ht="15" customHeight="1">
      <c r="A16" s="239" t="s">
        <v>28</v>
      </c>
      <c r="B16" s="630" t="s">
        <v>29</v>
      </c>
      <c r="C16" s="630"/>
      <c r="D16" s="630"/>
      <c r="E16" s="630"/>
      <c r="F16" s="630"/>
      <c r="G16" s="630"/>
      <c r="H16" s="630"/>
      <c r="I16" s="630"/>
      <c r="J16" s="630"/>
      <c r="K16" s="630"/>
      <c r="L16" s="613"/>
      <c r="M16" s="614"/>
      <c r="N16" s="615">
        <f>N9+N13</f>
        <v>5720471.5000774981</v>
      </c>
      <c r="O16" s="615"/>
      <c r="P16" s="615"/>
      <c r="Q16" s="615"/>
      <c r="R16" s="616">
        <f t="shared" si="7"/>
        <v>5720471.5000774981</v>
      </c>
      <c r="S16" s="616"/>
      <c r="T16" s="616"/>
      <c r="U16" s="616"/>
      <c r="V16" s="616">
        <f t="shared" si="8"/>
        <v>5720471.5000774981</v>
      </c>
      <c r="W16" s="616"/>
      <c r="X16" s="616"/>
      <c r="Y16" s="616"/>
      <c r="Z16" s="616">
        <f t="shared" si="9"/>
        <v>5720471.5000774981</v>
      </c>
      <c r="AA16" s="616"/>
      <c r="AB16" s="616"/>
      <c r="AC16" s="616"/>
      <c r="AD16" s="616">
        <f t="shared" si="3"/>
        <v>5720471.5000774981</v>
      </c>
      <c r="AE16" s="616"/>
      <c r="AF16" s="616"/>
      <c r="AG16" s="616"/>
      <c r="AH16" s="616">
        <f t="shared" si="4"/>
        <v>5720471.5000774981</v>
      </c>
      <c r="AI16" s="616"/>
      <c r="AJ16" s="616"/>
      <c r="AK16" s="616"/>
      <c r="AL16" s="616">
        <f t="shared" si="5"/>
        <v>5720471.5000774981</v>
      </c>
      <c r="AM16" s="616"/>
      <c r="AN16" s="616"/>
      <c r="AO16" s="616"/>
      <c r="AP16" s="616">
        <f t="shared" si="6"/>
        <v>5720471.5000774981</v>
      </c>
      <c r="AQ16" s="616"/>
      <c r="AR16" s="616"/>
      <c r="AS16" s="616"/>
      <c r="AT16" s="616"/>
      <c r="AU16" s="616"/>
      <c r="AV16" s="616"/>
      <c r="AW16" s="616"/>
      <c r="AX16" s="616"/>
      <c r="AY16" s="616"/>
      <c r="AZ16" s="616"/>
      <c r="BA16" s="616"/>
      <c r="BB16" s="616"/>
      <c r="BC16" s="616"/>
      <c r="BD16" s="616"/>
      <c r="BE16" s="616"/>
      <c r="BF16" s="616"/>
      <c r="BG16" s="616"/>
      <c r="BH16" s="616"/>
      <c r="BI16" s="616"/>
      <c r="BJ16" s="616"/>
      <c r="BK16" s="616"/>
      <c r="BL16" s="616"/>
      <c r="BM16" s="616"/>
      <c r="BN16" s="616"/>
      <c r="BO16" s="616"/>
      <c r="BP16" s="616"/>
      <c r="BQ16" s="616"/>
      <c r="BR16" s="616"/>
      <c r="BS16" s="616"/>
      <c r="BT16" s="616"/>
      <c r="BU16" s="616"/>
    </row>
    <row r="17" spans="1:75" ht="15" customHeight="1">
      <c r="A17" s="239" t="s">
        <v>30</v>
      </c>
      <c r="B17" s="630" t="s">
        <v>31</v>
      </c>
      <c r="C17" s="630"/>
      <c r="D17" s="630"/>
      <c r="E17" s="630"/>
      <c r="F17" s="630"/>
      <c r="G17" s="630"/>
      <c r="H17" s="630"/>
      <c r="I17" s="630"/>
      <c r="J17" s="630"/>
      <c r="K17" s="630"/>
      <c r="L17" s="613"/>
      <c r="M17" s="614"/>
      <c r="N17" s="636">
        <f>N12+N15</f>
        <v>6795920.1420920677</v>
      </c>
      <c r="O17" s="636"/>
      <c r="P17" s="636"/>
      <c r="Q17" s="636"/>
      <c r="R17" s="637">
        <f t="shared" si="7"/>
        <v>6795920.1420920677</v>
      </c>
      <c r="S17" s="637"/>
      <c r="T17" s="637"/>
      <c r="U17" s="637"/>
      <c r="V17" s="637">
        <f t="shared" si="8"/>
        <v>6795920.1420920677</v>
      </c>
      <c r="W17" s="637"/>
      <c r="X17" s="637"/>
      <c r="Y17" s="637"/>
      <c r="Z17" s="637">
        <f t="shared" si="9"/>
        <v>6795920.1420920677</v>
      </c>
      <c r="AA17" s="637"/>
      <c r="AB17" s="637"/>
      <c r="AC17" s="637"/>
      <c r="AD17" s="637">
        <f t="shared" si="3"/>
        <v>6795920.1420920677</v>
      </c>
      <c r="AE17" s="637"/>
      <c r="AF17" s="637"/>
      <c r="AG17" s="637"/>
      <c r="AH17" s="637">
        <f t="shared" si="4"/>
        <v>6795920.1420920677</v>
      </c>
      <c r="AI17" s="637"/>
      <c r="AJ17" s="637"/>
      <c r="AK17" s="637"/>
      <c r="AL17" s="637">
        <f t="shared" si="5"/>
        <v>6795920.1420920677</v>
      </c>
      <c r="AM17" s="637"/>
      <c r="AN17" s="637"/>
      <c r="AO17" s="637"/>
      <c r="AP17" s="637">
        <f t="shared" si="6"/>
        <v>6795920.1420920677</v>
      </c>
      <c r="AQ17" s="637"/>
      <c r="AR17" s="637"/>
      <c r="AS17" s="637"/>
      <c r="AT17" s="637"/>
      <c r="AU17" s="637"/>
      <c r="AV17" s="637"/>
      <c r="AW17" s="637"/>
      <c r="AX17" s="637"/>
      <c r="AY17" s="637"/>
      <c r="AZ17" s="637"/>
      <c r="BA17" s="637"/>
      <c r="BB17" s="637"/>
      <c r="BC17" s="637"/>
      <c r="BD17" s="637"/>
      <c r="BE17" s="637"/>
      <c r="BF17" s="637"/>
      <c r="BG17" s="637"/>
      <c r="BH17" s="637"/>
      <c r="BI17" s="637"/>
      <c r="BJ17" s="637"/>
      <c r="BK17" s="637"/>
      <c r="BL17" s="637"/>
      <c r="BM17" s="637"/>
      <c r="BN17" s="637"/>
      <c r="BO17" s="637"/>
      <c r="BP17" s="637"/>
      <c r="BQ17" s="637"/>
      <c r="BR17" s="637"/>
      <c r="BS17" s="637"/>
      <c r="BT17" s="637"/>
      <c r="BU17" s="637"/>
    </row>
    <row r="18" spans="1:75" ht="15" customHeight="1">
      <c r="A18" s="239" t="s">
        <v>32</v>
      </c>
      <c r="B18" s="650" t="s">
        <v>33</v>
      </c>
      <c r="C18" s="650"/>
      <c r="D18" s="650"/>
      <c r="E18" s="650"/>
      <c r="F18" s="650"/>
      <c r="G18" s="650"/>
      <c r="H18" s="650"/>
      <c r="I18" s="650"/>
      <c r="J18" s="650"/>
      <c r="K18" s="650"/>
      <c r="L18" s="629">
        <f>N16+R16+V16+Z16+AD16+AH16+AL16+AP16+AT16+AX16+BB16+BF16+BJ16+BN16+BR16</f>
        <v>45763772.000619993</v>
      </c>
      <c r="M18" s="629"/>
      <c r="N18" s="629"/>
      <c r="O18" s="629"/>
      <c r="P18" s="629"/>
      <c r="Q18" s="629"/>
      <c r="R18" s="629"/>
      <c r="S18" s="629"/>
      <c r="T18" s="629"/>
      <c r="U18" s="629"/>
      <c r="V18" s="629"/>
      <c r="W18" s="629"/>
      <c r="X18" s="629"/>
      <c r="Y18" s="629"/>
      <c r="Z18" s="629"/>
      <c r="AA18" s="629"/>
      <c r="AB18" s="629"/>
      <c r="AC18" s="629"/>
      <c r="AD18" s="629"/>
      <c r="AE18" s="629"/>
      <c r="AF18" s="629"/>
      <c r="AG18" s="629"/>
      <c r="AH18" s="629"/>
      <c r="AI18" s="629"/>
      <c r="AJ18" s="629"/>
      <c r="AK18" s="629"/>
      <c r="AL18" s="629"/>
      <c r="AM18" s="629"/>
      <c r="AN18" s="629"/>
      <c r="AO18" s="629"/>
      <c r="AP18" s="629"/>
      <c r="AQ18" s="629"/>
      <c r="AR18" s="629"/>
      <c r="AS18" s="629"/>
      <c r="AT18" s="460"/>
      <c r="AU18" s="460"/>
      <c r="AV18" s="460"/>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row>
    <row r="19" spans="1:75" ht="15" customHeight="1">
      <c r="A19" s="239" t="s">
        <v>34</v>
      </c>
      <c r="B19" s="611" t="s">
        <v>35</v>
      </c>
      <c r="C19" s="611"/>
      <c r="D19" s="611"/>
      <c r="E19" s="611"/>
      <c r="F19" s="611"/>
      <c r="G19" s="611"/>
      <c r="H19" s="611"/>
      <c r="I19" s="611"/>
      <c r="J19" s="611"/>
      <c r="K19" s="611"/>
      <c r="L19" s="628">
        <f>N17+R17+V17+Z17+AD17+AH17+AL17+AP17+AT17+AX17+BB17+BF17+BJ17+BN17+BR17</f>
        <v>54367361.136736527</v>
      </c>
      <c r="M19" s="628"/>
      <c r="N19" s="628"/>
      <c r="O19" s="628"/>
      <c r="P19" s="628"/>
      <c r="Q19" s="628"/>
      <c r="R19" s="628"/>
      <c r="S19" s="628"/>
      <c r="T19" s="628"/>
      <c r="U19" s="628"/>
      <c r="V19" s="628"/>
      <c r="W19" s="628"/>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456"/>
      <c r="AU19" s="456"/>
      <c r="AV19" s="456"/>
      <c r="AW19" s="456"/>
      <c r="AX19" s="456"/>
      <c r="AY19" s="456"/>
      <c r="AZ19" s="456"/>
      <c r="BA19" s="456"/>
      <c r="BB19" s="456"/>
      <c r="BC19" s="456"/>
      <c r="BD19" s="456"/>
      <c r="BE19" s="456"/>
      <c r="BF19" s="456"/>
      <c r="BG19" s="456"/>
      <c r="BH19" s="456"/>
      <c r="BI19" s="456"/>
      <c r="BJ19" s="456"/>
      <c r="BK19" s="456"/>
      <c r="BL19" s="456"/>
      <c r="BM19" s="456"/>
      <c r="BN19" s="456"/>
      <c r="BO19" s="456"/>
      <c r="BP19" s="456"/>
      <c r="BQ19" s="456"/>
      <c r="BR19" s="456"/>
      <c r="BS19" s="456"/>
      <c r="BT19" s="456"/>
      <c r="BU19" s="456"/>
    </row>
    <row r="20" spans="1:75" ht="15" customHeight="1">
      <c r="A20" s="239" t="s">
        <v>36</v>
      </c>
      <c r="B20" s="639" t="s">
        <v>37</v>
      </c>
      <c r="C20" s="639"/>
      <c r="D20" s="639"/>
      <c r="E20" s="639"/>
      <c r="F20" s="639"/>
      <c r="G20" s="639"/>
      <c r="H20" s="639"/>
      <c r="I20" s="639"/>
      <c r="J20" s="639"/>
      <c r="K20" s="639"/>
      <c r="L20" s="631"/>
      <c r="M20" s="646"/>
      <c r="N20" s="647">
        <f>100%-N21</f>
        <v>0.92016806722689082</v>
      </c>
      <c r="O20" s="647"/>
      <c r="P20" s="647"/>
      <c r="Q20" s="647"/>
      <c r="R20" s="647"/>
      <c r="S20" s="647"/>
      <c r="T20" s="647"/>
      <c r="U20" s="647"/>
      <c r="V20" s="647"/>
      <c r="W20" s="647"/>
      <c r="X20" s="647"/>
      <c r="Y20" s="647"/>
      <c r="Z20" s="647"/>
      <c r="AA20" s="647"/>
      <c r="AB20" s="647"/>
      <c r="AC20" s="647"/>
    </row>
    <row r="21" spans="1:75" ht="15" customHeight="1">
      <c r="A21" s="239" t="s">
        <v>36</v>
      </c>
      <c r="B21" s="639" t="s">
        <v>38</v>
      </c>
      <c r="C21" s="639"/>
      <c r="D21" s="639"/>
      <c r="E21" s="639"/>
      <c r="F21" s="639"/>
      <c r="G21" s="639"/>
      <c r="H21" s="639"/>
      <c r="I21" s="639"/>
      <c r="J21" s="639"/>
      <c r="K21" s="639"/>
      <c r="L21" s="631"/>
      <c r="M21" s="646"/>
      <c r="N21" s="631">
        <f>(SUM(N7:AC8)+4*('Trabajos Medición-Suministro'!P37+'Trabajos Medición-Suministro'!P38))/L18</f>
        <v>7.9831932773109224E-2</v>
      </c>
      <c r="O21" s="631"/>
      <c r="P21" s="631"/>
      <c r="Q21" s="631"/>
      <c r="R21" s="631"/>
      <c r="S21" s="631"/>
      <c r="T21" s="631"/>
      <c r="U21" s="631"/>
      <c r="V21" s="631"/>
      <c r="W21" s="631"/>
      <c r="X21" s="631"/>
      <c r="Y21" s="631"/>
      <c r="Z21" s="631"/>
      <c r="AA21" s="631"/>
      <c r="AB21" s="631"/>
      <c r="AC21" s="631"/>
    </row>
    <row r="22" spans="1:75" ht="6.75" customHeight="1">
      <c r="B22" s="632"/>
      <c r="C22" s="632"/>
      <c r="D22" s="632"/>
      <c r="E22" s="632"/>
      <c r="F22" s="632"/>
      <c r="G22" s="632"/>
      <c r="H22" s="632"/>
      <c r="I22" s="632"/>
      <c r="J22" s="632"/>
      <c r="K22" s="632"/>
      <c r="L22" s="633"/>
      <c r="M22" s="634"/>
      <c r="N22" s="50"/>
      <c r="O22" s="50"/>
      <c r="P22" s="50"/>
      <c r="Q22" s="50"/>
      <c r="R22" s="50"/>
      <c r="S22" s="50"/>
      <c r="T22" s="50"/>
      <c r="U22" s="50"/>
      <c r="V22" s="50"/>
      <c r="W22" s="50"/>
      <c r="X22" s="50"/>
      <c r="Y22" s="50"/>
      <c r="Z22" s="50"/>
      <c r="AA22" s="50"/>
      <c r="AB22" s="50"/>
      <c r="AC22" s="50"/>
    </row>
    <row r="23" spans="1:75" s="237" customFormat="1" ht="15" customHeight="1">
      <c r="A23" s="240"/>
      <c r="B23" s="401" t="s">
        <v>39</v>
      </c>
      <c r="C23" s="401"/>
      <c r="D23" s="401"/>
      <c r="E23" s="401"/>
      <c r="F23" s="401"/>
      <c r="G23" s="401"/>
      <c r="H23" s="401"/>
      <c r="I23" s="401"/>
      <c r="J23" s="401"/>
      <c r="K23" s="401"/>
      <c r="L23" s="401"/>
      <c r="M23" s="401"/>
      <c r="N23" s="401"/>
      <c r="O23" s="401"/>
      <c r="P23" s="401"/>
      <c r="Q23" s="401"/>
      <c r="R23" s="401"/>
      <c r="S23" s="401"/>
      <c r="T23" s="401"/>
      <c r="U23" s="401"/>
      <c r="V23" s="401"/>
      <c r="W23" s="401"/>
      <c r="X23" s="401"/>
      <c r="Y23" s="401"/>
      <c r="Z23" s="401"/>
      <c r="AA23" s="401"/>
      <c r="AB23" s="401"/>
      <c r="AC23" s="401"/>
      <c r="AD23" s="401"/>
      <c r="AE23" s="401"/>
      <c r="AF23" s="401"/>
      <c r="AG23" s="401"/>
      <c r="AH23" s="401"/>
      <c r="AI23" s="401"/>
      <c r="AJ23" s="401"/>
      <c r="AK23" s="401"/>
      <c r="AL23" s="401"/>
      <c r="AM23" s="401"/>
      <c r="AN23" s="401"/>
      <c r="AO23" s="401"/>
      <c r="AP23" s="401"/>
      <c r="AQ23" s="401"/>
      <c r="AR23" s="401"/>
      <c r="AS23" s="401"/>
      <c r="AT23" s="401"/>
      <c r="AU23" s="401"/>
      <c r="AV23" s="401"/>
      <c r="AW23" s="401"/>
      <c r="AX23" s="401"/>
      <c r="AY23" s="401"/>
      <c r="AZ23" s="401"/>
      <c r="BA23" s="401"/>
      <c r="BB23" s="401"/>
      <c r="BC23" s="401"/>
      <c r="BD23" s="401"/>
      <c r="BE23" s="401"/>
      <c r="BF23" s="401"/>
      <c r="BG23" s="401"/>
      <c r="BH23" s="401"/>
      <c r="BI23" s="401"/>
      <c r="BJ23" s="401"/>
      <c r="BK23" s="401"/>
      <c r="BL23" s="401"/>
      <c r="BM23" s="401"/>
      <c r="BN23" s="401"/>
      <c r="BO23" s="401"/>
      <c r="BP23" s="401"/>
      <c r="BQ23" s="401"/>
      <c r="BR23" s="401"/>
      <c r="BS23" s="401"/>
      <c r="BT23" s="401"/>
      <c r="BU23" s="401"/>
    </row>
    <row r="24" spans="1:75" ht="15" customHeight="1">
      <c r="A24" s="239" t="s">
        <v>32</v>
      </c>
      <c r="B24" s="635" t="s">
        <v>40</v>
      </c>
      <c r="C24" s="635"/>
      <c r="D24" s="635"/>
      <c r="E24" s="635"/>
      <c r="F24" s="635"/>
      <c r="G24" s="635"/>
      <c r="H24" s="635"/>
      <c r="I24" s="635"/>
      <c r="J24" s="635"/>
      <c r="K24" s="635"/>
      <c r="L24" s="631"/>
      <c r="M24" s="631"/>
      <c r="N24" s="631"/>
      <c r="O24" s="631"/>
      <c r="P24" s="631"/>
      <c r="Q24" s="631"/>
      <c r="R24" s="631"/>
      <c r="S24" s="631"/>
      <c r="T24" s="631"/>
      <c r="U24" s="631"/>
      <c r="V24" s="631"/>
      <c r="W24" s="631"/>
      <c r="X24" s="631"/>
      <c r="Y24" s="631"/>
      <c r="Z24" s="631"/>
      <c r="AA24" s="631"/>
      <c r="AB24" s="631"/>
      <c r="AC24" s="631"/>
    </row>
    <row r="25" spans="1:75" ht="15" customHeight="1">
      <c r="A25" s="638" t="s">
        <v>41</v>
      </c>
      <c r="B25" s="639" t="s">
        <v>42</v>
      </c>
      <c r="C25" s="639"/>
      <c r="D25" s="639"/>
      <c r="E25" s="639"/>
      <c r="F25" s="639"/>
      <c r="G25" s="639"/>
      <c r="H25" s="639"/>
      <c r="I25" s="639"/>
      <c r="J25" s="639"/>
      <c r="K25" s="639"/>
      <c r="L25" s="631"/>
      <c r="M25" s="631"/>
      <c r="N25" s="631"/>
      <c r="O25" s="631"/>
      <c r="P25" s="631"/>
      <c r="Q25" s="631"/>
      <c r="R25" s="631"/>
      <c r="S25" s="631"/>
      <c r="T25" s="631"/>
      <c r="U25" s="631"/>
      <c r="V25" s="631"/>
      <c r="W25" s="631"/>
      <c r="X25" s="631"/>
      <c r="Y25" s="631"/>
      <c r="Z25" s="631"/>
      <c r="AA25" s="631"/>
      <c r="AB25" s="631"/>
      <c r="AC25" s="631"/>
    </row>
    <row r="26" spans="1:75" ht="30.75" customHeight="1">
      <c r="A26" s="638"/>
      <c r="C26" s="640" t="s">
        <v>1034</v>
      </c>
      <c r="D26" s="640"/>
      <c r="E26" s="640"/>
      <c r="F26" s="640"/>
      <c r="G26" s="640"/>
      <c r="H26" s="640"/>
      <c r="I26" s="640"/>
      <c r="J26" s="640"/>
      <c r="K26" s="640"/>
      <c r="L26" s="641">
        <f>N9*AD26</f>
        <v>5840601.4015791249</v>
      </c>
      <c r="M26" s="641"/>
      <c r="N26" s="641"/>
      <c r="O26" s="641"/>
      <c r="P26" s="641"/>
      <c r="Q26" s="641"/>
      <c r="R26" s="641"/>
      <c r="S26" s="641"/>
      <c r="T26" s="641"/>
      <c r="U26" s="641"/>
      <c r="V26" s="641"/>
      <c r="W26" s="641"/>
      <c r="X26" s="641"/>
      <c r="Y26" s="641"/>
      <c r="Z26" s="641"/>
      <c r="AA26" s="641"/>
      <c r="AB26" s="641"/>
      <c r="AC26" s="641"/>
      <c r="AD26" s="649">
        <v>1.0209999999999999</v>
      </c>
      <c r="AE26" s="649"/>
      <c r="AF26" s="649"/>
      <c r="AH26" s="444" t="s">
        <v>1018</v>
      </c>
      <c r="AI26" s="12"/>
      <c r="AJ26" s="12"/>
      <c r="AK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row>
    <row r="27" spans="1:75" ht="15" customHeight="1">
      <c r="A27" s="638"/>
      <c r="C27" s="642" t="s">
        <v>1020</v>
      </c>
      <c r="D27" s="639"/>
      <c r="E27" s="639"/>
      <c r="F27" s="639"/>
      <c r="G27" s="639"/>
      <c r="H27" s="639"/>
      <c r="I27" s="639"/>
      <c r="J27" s="639"/>
      <c r="K27" s="639"/>
      <c r="L27" s="641">
        <f>N13*AD26</f>
        <v>0</v>
      </c>
      <c r="M27" s="641"/>
      <c r="N27" s="641"/>
      <c r="O27" s="641"/>
      <c r="P27" s="641"/>
      <c r="Q27" s="641"/>
      <c r="R27" s="641"/>
      <c r="S27" s="641"/>
      <c r="T27" s="641"/>
      <c r="U27" s="641"/>
      <c r="V27" s="641"/>
      <c r="W27" s="641"/>
      <c r="X27" s="641"/>
      <c r="Y27" s="641"/>
      <c r="Z27" s="641"/>
      <c r="AA27" s="641"/>
      <c r="AB27" s="641"/>
      <c r="AC27" s="641"/>
      <c r="AD27" s="15"/>
      <c r="AH27" s="12"/>
      <c r="AI27" s="12"/>
      <c r="AJ27" s="12"/>
      <c r="AK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row>
    <row r="28" spans="1:75" ht="31.5" customHeight="1">
      <c r="A28" s="638"/>
      <c r="C28" s="640" t="s">
        <v>1035</v>
      </c>
      <c r="D28" s="640"/>
      <c r="E28" s="640"/>
      <c r="F28" s="640"/>
      <c r="G28" s="640"/>
      <c r="H28" s="640"/>
      <c r="I28" s="640"/>
      <c r="J28" s="640"/>
      <c r="K28" s="640"/>
      <c r="L28" s="641">
        <f>N9*AD28</f>
        <v>5789117.1580784284</v>
      </c>
      <c r="M28" s="641"/>
      <c r="N28" s="641"/>
      <c r="O28" s="641"/>
      <c r="P28" s="641"/>
      <c r="Q28" s="641"/>
      <c r="R28" s="641"/>
      <c r="S28" s="641"/>
      <c r="T28" s="641"/>
      <c r="U28" s="641"/>
      <c r="V28" s="641"/>
      <c r="W28" s="641"/>
      <c r="X28" s="641"/>
      <c r="Y28" s="641"/>
      <c r="Z28" s="641"/>
      <c r="AA28" s="641"/>
      <c r="AB28" s="641"/>
      <c r="AC28" s="641"/>
      <c r="AD28" s="649">
        <v>1.012</v>
      </c>
      <c r="AE28" s="649"/>
      <c r="AF28" s="649"/>
      <c r="AH28" s="444" t="s">
        <v>1019</v>
      </c>
      <c r="AI28" s="12"/>
      <c r="AJ28" s="12"/>
      <c r="AK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row>
    <row r="29" spans="1:75" ht="15" customHeight="1">
      <c r="A29" s="638"/>
      <c r="C29" s="642" t="s">
        <v>1021</v>
      </c>
      <c r="D29" s="639"/>
      <c r="E29" s="639"/>
      <c r="F29" s="639"/>
      <c r="G29" s="639"/>
      <c r="H29" s="639"/>
      <c r="I29" s="639"/>
      <c r="J29" s="639"/>
      <c r="K29" s="639"/>
      <c r="L29" s="641">
        <f>N13*AD28</f>
        <v>0</v>
      </c>
      <c r="M29" s="641"/>
      <c r="N29" s="641"/>
      <c r="O29" s="641"/>
      <c r="P29" s="641"/>
      <c r="Q29" s="641"/>
      <c r="R29" s="641"/>
      <c r="S29" s="641"/>
      <c r="T29" s="641"/>
      <c r="U29" s="641"/>
      <c r="V29" s="641"/>
      <c r="W29" s="641"/>
      <c r="X29" s="641"/>
      <c r="Y29" s="641"/>
      <c r="Z29" s="641"/>
      <c r="AA29" s="641"/>
      <c r="AB29" s="641"/>
      <c r="AC29" s="641"/>
      <c r="AD29" s="15"/>
      <c r="AH29" s="12"/>
      <c r="AI29" s="12"/>
      <c r="AJ29" s="12"/>
      <c r="AK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row>
    <row r="30" spans="1:75" ht="15" customHeight="1">
      <c r="A30" s="239" t="s">
        <v>43</v>
      </c>
      <c r="B30" s="48" t="s">
        <v>44</v>
      </c>
      <c r="L30" s="643">
        <f>L18*AD30</f>
        <v>5491652.6400743993</v>
      </c>
      <c r="M30" s="644"/>
      <c r="N30" s="644"/>
      <c r="O30" s="644"/>
      <c r="P30" s="644"/>
      <c r="Q30" s="644"/>
      <c r="R30" s="644"/>
      <c r="S30" s="644"/>
      <c r="T30" s="644"/>
      <c r="U30" s="644"/>
      <c r="V30" s="644"/>
      <c r="W30" s="644"/>
      <c r="X30" s="644"/>
      <c r="Y30" s="644"/>
      <c r="Z30" s="644"/>
      <c r="AA30" s="644"/>
      <c r="AB30" s="644"/>
      <c r="AC30" s="644"/>
      <c r="AD30" s="648">
        <v>0.12</v>
      </c>
      <c r="AE30" s="648"/>
      <c r="AF30" s="648"/>
      <c r="AH30" s="12" t="s">
        <v>45</v>
      </c>
      <c r="AI30" s="12"/>
      <c r="AJ30" s="12"/>
      <c r="AK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row>
    <row r="31" spans="1:75" ht="6" customHeight="1">
      <c r="A31" s="239"/>
      <c r="B31" s="50"/>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row>
    <row r="32" spans="1:75" ht="15" customHeight="1">
      <c r="A32" s="239" t="s">
        <v>46</v>
      </c>
      <c r="B32" s="611" t="s">
        <v>991</v>
      </c>
      <c r="C32" s="611"/>
      <c r="D32" s="611"/>
      <c r="E32" s="611"/>
      <c r="F32" s="611"/>
      <c r="G32" s="611"/>
      <c r="H32" s="611"/>
      <c r="I32" s="611"/>
      <c r="J32" s="611"/>
      <c r="K32" s="611"/>
      <c r="L32" s="610">
        <f>L30+L29+L28+L27+L26+L18</f>
        <v>62885143.200351946</v>
      </c>
      <c r="M32" s="645"/>
      <c r="N32" s="645"/>
      <c r="O32" s="645"/>
      <c r="P32" s="645"/>
      <c r="Q32" s="645"/>
      <c r="R32" s="645"/>
      <c r="S32" s="645"/>
      <c r="T32" s="645"/>
      <c r="U32" s="645"/>
      <c r="V32" s="645"/>
      <c r="W32" s="645"/>
      <c r="X32" s="645"/>
      <c r="Y32" s="645"/>
      <c r="Z32" s="645"/>
      <c r="AA32" s="645"/>
      <c r="AB32" s="645"/>
      <c r="AC32" s="645"/>
      <c r="AD32" s="461"/>
      <c r="AE32" s="461"/>
      <c r="AF32" s="461"/>
      <c r="AG32" s="461"/>
      <c r="AH32" s="461"/>
      <c r="AI32" s="461"/>
      <c r="AJ32" s="461"/>
      <c r="AK32" s="461"/>
      <c r="AL32" s="461"/>
      <c r="AM32" s="461"/>
      <c r="AN32" s="461"/>
      <c r="AO32" s="461"/>
      <c r="AP32" s="461"/>
      <c r="AQ32" s="461"/>
      <c r="AR32" s="461"/>
      <c r="AS32" s="461"/>
      <c r="AT32" s="461"/>
      <c r="AU32" s="461"/>
      <c r="AV32" s="461"/>
      <c r="AW32" s="461"/>
      <c r="AX32" s="461"/>
      <c r="AY32" s="461"/>
      <c r="AZ32" s="461"/>
      <c r="BA32" s="461"/>
      <c r="BB32" s="461"/>
      <c r="BC32" s="461"/>
      <c r="BD32" s="461"/>
      <c r="BE32" s="461"/>
      <c r="BF32" s="461"/>
      <c r="BG32" s="461"/>
      <c r="BH32" s="461"/>
      <c r="BI32" s="461"/>
      <c r="BJ32" s="461"/>
      <c r="BK32" s="461"/>
      <c r="BL32" s="461"/>
      <c r="BM32" s="461"/>
      <c r="BN32" s="461"/>
      <c r="BO32" s="461"/>
      <c r="BP32" s="461"/>
      <c r="BQ32" s="461"/>
      <c r="BR32" s="461"/>
      <c r="BS32" s="461"/>
      <c r="BT32" s="461"/>
      <c r="BU32" s="461"/>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sheetData>
  <mergeCells count="285">
    <mergeCell ref="BR16:BU16"/>
    <mergeCell ref="BR17:BU17"/>
    <mergeCell ref="BB12:BE12"/>
    <mergeCell ref="BF17:BI17"/>
    <mergeCell ref="AT12:AW12"/>
    <mergeCell ref="AT13:AW13"/>
    <mergeCell ref="AT14:AW14"/>
    <mergeCell ref="B1:BU1"/>
    <mergeCell ref="BR3:BU3"/>
    <mergeCell ref="BR4:BU4"/>
    <mergeCell ref="BR5:BU5"/>
    <mergeCell ref="BR6:BU6"/>
    <mergeCell ref="BR7:BU7"/>
    <mergeCell ref="BB13:BE13"/>
    <mergeCell ref="BB14:BE14"/>
    <mergeCell ref="BB15:BE15"/>
    <mergeCell ref="BB16:BE16"/>
    <mergeCell ref="BB17:BE17"/>
    <mergeCell ref="BF12:BI12"/>
    <mergeCell ref="BF13:BI13"/>
    <mergeCell ref="BF14:BI14"/>
    <mergeCell ref="BF15:BI15"/>
    <mergeCell ref="BF16:BI16"/>
    <mergeCell ref="BR12:BU12"/>
    <mergeCell ref="BR13:BU13"/>
    <mergeCell ref="BR14:BU14"/>
    <mergeCell ref="BR15:BU15"/>
    <mergeCell ref="AP3:AS3"/>
    <mergeCell ref="BR11:BU11"/>
    <mergeCell ref="BJ12:BM12"/>
    <mergeCell ref="BJ13:BM13"/>
    <mergeCell ref="BN9:BQ9"/>
    <mergeCell ref="BN10:BQ10"/>
    <mergeCell ref="BN11:BQ11"/>
    <mergeCell ref="BN12:BQ12"/>
    <mergeCell ref="BB3:BE3"/>
    <mergeCell ref="BB4:BE4"/>
    <mergeCell ref="BB5:BE5"/>
    <mergeCell ref="BB6:BE6"/>
    <mergeCell ref="BB7:BE7"/>
    <mergeCell ref="BB8:BE8"/>
    <mergeCell ref="BR8:BU8"/>
    <mergeCell ref="BR9:BU9"/>
    <mergeCell ref="BR10:BU10"/>
    <mergeCell ref="BJ5:BM5"/>
    <mergeCell ref="BJ6:BM6"/>
    <mergeCell ref="BJ7:BM7"/>
    <mergeCell ref="BJ8:BM8"/>
    <mergeCell ref="BJ9:BM9"/>
    <mergeCell ref="BJ10:BM10"/>
    <mergeCell ref="BN13:BQ13"/>
    <mergeCell ref="BN14:BQ14"/>
    <mergeCell ref="BN15:BQ15"/>
    <mergeCell ref="BN16:BQ16"/>
    <mergeCell ref="BN17:BQ17"/>
    <mergeCell ref="BJ3:BM3"/>
    <mergeCell ref="BJ4:BM4"/>
    <mergeCell ref="BJ11:BM11"/>
    <mergeCell ref="BJ14:BM14"/>
    <mergeCell ref="BJ15:BM15"/>
    <mergeCell ref="BJ16:BM16"/>
    <mergeCell ref="BJ17:BM17"/>
    <mergeCell ref="BN3:BQ3"/>
    <mergeCell ref="BN4:BQ4"/>
    <mergeCell ref="BN5:BQ5"/>
    <mergeCell ref="BN6:BQ6"/>
    <mergeCell ref="BN7:BQ7"/>
    <mergeCell ref="BN8:BQ8"/>
    <mergeCell ref="AX17:BA17"/>
    <mergeCell ref="AT3:AW3"/>
    <mergeCell ref="AT4:AW4"/>
    <mergeCell ref="AT5:AW5"/>
    <mergeCell ref="AT6:AW6"/>
    <mergeCell ref="AT7:AW7"/>
    <mergeCell ref="AT8:AW8"/>
    <mergeCell ref="BF9:BI9"/>
    <mergeCell ref="BF10:BI10"/>
    <mergeCell ref="BF11:BI11"/>
    <mergeCell ref="BB11:BE11"/>
    <mergeCell ref="AX12:BA12"/>
    <mergeCell ref="AX13:BA13"/>
    <mergeCell ref="AX9:BA9"/>
    <mergeCell ref="AX10:BA10"/>
    <mergeCell ref="AX11:BA11"/>
    <mergeCell ref="BF3:BI3"/>
    <mergeCell ref="BF4:BI4"/>
    <mergeCell ref="BF5:BI5"/>
    <mergeCell ref="BF6:BI6"/>
    <mergeCell ref="BF7:BI7"/>
    <mergeCell ref="BF8:BI8"/>
    <mergeCell ref="BB9:BE9"/>
    <mergeCell ref="BB10:BE10"/>
    <mergeCell ref="AX3:BA3"/>
    <mergeCell ref="AX4:BA4"/>
    <mergeCell ref="AX5:BA5"/>
    <mergeCell ref="AX6:BA6"/>
    <mergeCell ref="AX7:BA7"/>
    <mergeCell ref="AX8:BA8"/>
    <mergeCell ref="AX14:BA14"/>
    <mergeCell ref="AX15:BA15"/>
    <mergeCell ref="AX16:BA16"/>
    <mergeCell ref="AP17:AS17"/>
    <mergeCell ref="AT9:AW9"/>
    <mergeCell ref="AT10:AW10"/>
    <mergeCell ref="AT11:AW11"/>
    <mergeCell ref="AL12:AO12"/>
    <mergeCell ref="AL13:AO13"/>
    <mergeCell ref="AL14:AO14"/>
    <mergeCell ref="AP11:AS11"/>
    <mergeCell ref="AL9:AO9"/>
    <mergeCell ref="AL10:AO10"/>
    <mergeCell ref="AL11:AO11"/>
    <mergeCell ref="AL3:AO3"/>
    <mergeCell ref="AL4:AO4"/>
    <mergeCell ref="AL5:AO5"/>
    <mergeCell ref="AL6:AO6"/>
    <mergeCell ref="AL7:AO7"/>
    <mergeCell ref="AL8:AO8"/>
    <mergeCell ref="AT15:AW15"/>
    <mergeCell ref="AT16:AW16"/>
    <mergeCell ref="AT17:AW17"/>
    <mergeCell ref="AP4:AS4"/>
    <mergeCell ref="AP5:AS5"/>
    <mergeCell ref="AP6:AS6"/>
    <mergeCell ref="AP7:AS7"/>
    <mergeCell ref="AP8:AS8"/>
    <mergeCell ref="AP9:AS9"/>
    <mergeCell ref="AP10:AS10"/>
    <mergeCell ref="AL15:AO15"/>
    <mergeCell ref="AL16:AO16"/>
    <mergeCell ref="AL17:AO17"/>
    <mergeCell ref="AP12:AS12"/>
    <mergeCell ref="AP13:AS13"/>
    <mergeCell ref="AP14:AS14"/>
    <mergeCell ref="AP15:AS15"/>
    <mergeCell ref="AP16:AS16"/>
    <mergeCell ref="AH17:AK17"/>
    <mergeCell ref="AD3:AG3"/>
    <mergeCell ref="AD4:AG4"/>
    <mergeCell ref="AD5:AG5"/>
    <mergeCell ref="AD6:AG6"/>
    <mergeCell ref="AD7:AG7"/>
    <mergeCell ref="AD8:AG8"/>
    <mergeCell ref="AD9:AG9"/>
    <mergeCell ref="AH9:AK9"/>
    <mergeCell ref="AH10:AK10"/>
    <mergeCell ref="AH11:AK11"/>
    <mergeCell ref="AH12:AK12"/>
    <mergeCell ref="AH13:AK13"/>
    <mergeCell ref="AH14:AK14"/>
    <mergeCell ref="AH3:AK3"/>
    <mergeCell ref="AH4:AK4"/>
    <mergeCell ref="AH5:AK5"/>
    <mergeCell ref="AH6:AK6"/>
    <mergeCell ref="AH7:AK7"/>
    <mergeCell ref="AH8:AK8"/>
    <mergeCell ref="AD12:AG12"/>
    <mergeCell ref="AD13:AG13"/>
    <mergeCell ref="AD14:AG14"/>
    <mergeCell ref="AD15:AG15"/>
    <mergeCell ref="AD10:AG10"/>
    <mergeCell ref="AD11:AG11"/>
    <mergeCell ref="L30:AC30"/>
    <mergeCell ref="B32:K32"/>
    <mergeCell ref="L32:AC32"/>
    <mergeCell ref="B20:K20"/>
    <mergeCell ref="L20:M20"/>
    <mergeCell ref="N20:AC20"/>
    <mergeCell ref="B21:K21"/>
    <mergeCell ref="L21:M21"/>
    <mergeCell ref="AD16:AG16"/>
    <mergeCell ref="AD17:AG17"/>
    <mergeCell ref="AD30:AF30"/>
    <mergeCell ref="AD28:AF28"/>
    <mergeCell ref="AD26:AF26"/>
    <mergeCell ref="Z17:AC17"/>
    <mergeCell ref="B18:K18"/>
    <mergeCell ref="B19:K19"/>
    <mergeCell ref="B15:K15"/>
    <mergeCell ref="L15:M15"/>
    <mergeCell ref="N15:Q15"/>
    <mergeCell ref="R15:U15"/>
    <mergeCell ref="V15:Y15"/>
    <mergeCell ref="Z15:AC15"/>
    <mergeCell ref="A25:A29"/>
    <mergeCell ref="B25:K25"/>
    <mergeCell ref="L25:AC25"/>
    <mergeCell ref="C26:K26"/>
    <mergeCell ref="L26:AC26"/>
    <mergeCell ref="C27:K27"/>
    <mergeCell ref="L27:AC27"/>
    <mergeCell ref="C28:K28"/>
    <mergeCell ref="L28:AC28"/>
    <mergeCell ref="C29:K29"/>
    <mergeCell ref="L29:AC29"/>
    <mergeCell ref="N21:AC21"/>
    <mergeCell ref="B22:K22"/>
    <mergeCell ref="L22:M22"/>
    <mergeCell ref="B24:K24"/>
    <mergeCell ref="L24:AC24"/>
    <mergeCell ref="B17:K17"/>
    <mergeCell ref="L17:M17"/>
    <mergeCell ref="N17:Q17"/>
    <mergeCell ref="R17:U17"/>
    <mergeCell ref="V17:Y17"/>
    <mergeCell ref="B11:K11"/>
    <mergeCell ref="L11:M11"/>
    <mergeCell ref="N11:Q11"/>
    <mergeCell ref="R11:U11"/>
    <mergeCell ref="V11:Y11"/>
    <mergeCell ref="Z11:AC11"/>
    <mergeCell ref="L19:AS19"/>
    <mergeCell ref="L18:AS18"/>
    <mergeCell ref="B13:K13"/>
    <mergeCell ref="L13:M13"/>
    <mergeCell ref="N13:Q13"/>
    <mergeCell ref="R13:U13"/>
    <mergeCell ref="V13:Y13"/>
    <mergeCell ref="Z13:AC13"/>
    <mergeCell ref="B14:K14"/>
    <mergeCell ref="L14:M14"/>
    <mergeCell ref="B16:K16"/>
    <mergeCell ref="L16:M16"/>
    <mergeCell ref="N16:Q16"/>
    <mergeCell ref="R16:U16"/>
    <mergeCell ref="V16:Y16"/>
    <mergeCell ref="Z16:AC16"/>
    <mergeCell ref="AH15:AK15"/>
    <mergeCell ref="AH16:AK16"/>
    <mergeCell ref="B12:K12"/>
    <mergeCell ref="L12:M12"/>
    <mergeCell ref="N12:Q12"/>
    <mergeCell ref="R12:U12"/>
    <mergeCell ref="V12:Y12"/>
    <mergeCell ref="Z12:AC12"/>
    <mergeCell ref="N14:Q14"/>
    <mergeCell ref="R14:U14"/>
    <mergeCell ref="V14:Y14"/>
    <mergeCell ref="Z14:AC14"/>
    <mergeCell ref="B10:K10"/>
    <mergeCell ref="L10:M10"/>
    <mergeCell ref="N10:Q10"/>
    <mergeCell ref="R10:U10"/>
    <mergeCell ref="V10:Y10"/>
    <mergeCell ref="Z10:AC10"/>
    <mergeCell ref="B9:K9"/>
    <mergeCell ref="L9:M9"/>
    <mergeCell ref="N9:Q9"/>
    <mergeCell ref="R9:U9"/>
    <mergeCell ref="V9:Y9"/>
    <mergeCell ref="Z9:AC9"/>
    <mergeCell ref="B8:K8"/>
    <mergeCell ref="L8:M8"/>
    <mergeCell ref="N8:Q8"/>
    <mergeCell ref="R8:U8"/>
    <mergeCell ref="V8:Y8"/>
    <mergeCell ref="Z8:AC8"/>
    <mergeCell ref="B7:K7"/>
    <mergeCell ref="L7:M7"/>
    <mergeCell ref="N7:Q7"/>
    <mergeCell ref="R7:U7"/>
    <mergeCell ref="V7:Y7"/>
    <mergeCell ref="Z7:AC7"/>
    <mergeCell ref="B6:K6"/>
    <mergeCell ref="L6:M6"/>
    <mergeCell ref="N6:Q6"/>
    <mergeCell ref="R6:U6"/>
    <mergeCell ref="V6:Y6"/>
    <mergeCell ref="Z6:AC6"/>
    <mergeCell ref="B5:K5"/>
    <mergeCell ref="L5:M5"/>
    <mergeCell ref="N5:Q5"/>
    <mergeCell ref="R5:U5"/>
    <mergeCell ref="V5:Y5"/>
    <mergeCell ref="Z5:AC5"/>
    <mergeCell ref="N3:Q3"/>
    <mergeCell ref="R3:U3"/>
    <mergeCell ref="V3:Y3"/>
    <mergeCell ref="Z3:AC3"/>
    <mergeCell ref="B4:K4"/>
    <mergeCell ref="L4:M4"/>
    <mergeCell ref="N4:Q4"/>
    <mergeCell ref="R4:U4"/>
    <mergeCell ref="V4:Y4"/>
    <mergeCell ref="Z4:AC4"/>
  </mergeCells>
  <pageMargins left="0.511811023622047" right="0.511811023622047" top="0.55118110236220497" bottom="0.55118110236220497" header="0.31496062992126" footer="0.31496062992126"/>
  <pageSetup paperSize="9" scale="83"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V519"/>
  <sheetViews>
    <sheetView showGridLines="0" zoomScale="90" zoomScaleNormal="90" workbookViewId="0">
      <selection activeCell="X14" sqref="X14"/>
    </sheetView>
  </sheetViews>
  <sheetFormatPr baseColWidth="10" defaultColWidth="11.44140625" defaultRowHeight="14.4"/>
  <cols>
    <col min="1" max="1" width="5.33203125" style="46" customWidth="1"/>
    <col min="2" max="10" width="3.33203125" style="48" customWidth="1"/>
    <col min="11" max="11" width="34.44140625" style="48" customWidth="1"/>
    <col min="12" max="12" width="3.33203125" style="48" customWidth="1"/>
    <col min="13" max="13" width="2.5546875" style="48" customWidth="1"/>
    <col min="14" max="14" width="2.109375" style="48" customWidth="1"/>
    <col min="15" max="16" width="2.33203125" style="48" customWidth="1"/>
    <col min="17" max="18" width="3.33203125" style="48" customWidth="1"/>
    <col min="19" max="19" width="2.33203125" style="48" customWidth="1"/>
    <col min="20" max="20" width="3.109375" style="48" customWidth="1"/>
    <col min="21" max="21" width="3.33203125" style="48" customWidth="1"/>
    <col min="22" max="22" width="5.33203125" style="48" customWidth="1"/>
    <col min="23" max="24" width="11.44140625" style="48"/>
    <col min="25" max="43" width="3.6640625" style="48" customWidth="1"/>
    <col min="44" max="44" width="6.109375" style="48" customWidth="1"/>
    <col min="45" max="45" width="4.5546875" style="48" customWidth="1"/>
    <col min="46" max="16384" width="11.44140625" style="48"/>
  </cols>
  <sheetData>
    <row r="1" spans="2:22" ht="15" customHeight="1">
      <c r="B1" s="591" t="s">
        <v>948</v>
      </c>
      <c r="C1" s="563"/>
      <c r="D1" s="563"/>
      <c r="E1" s="563"/>
      <c r="F1" s="563"/>
      <c r="G1" s="563"/>
      <c r="H1" s="563"/>
      <c r="I1" s="563"/>
      <c r="J1" s="563"/>
      <c r="K1" s="563"/>
      <c r="L1" s="563"/>
      <c r="M1" s="563"/>
      <c r="N1" s="563"/>
      <c r="O1" s="563"/>
      <c r="P1" s="563"/>
      <c r="Q1" s="563"/>
      <c r="R1" s="563"/>
      <c r="S1" s="563"/>
      <c r="T1" s="563"/>
      <c r="U1" s="563"/>
      <c r="V1" s="563"/>
    </row>
    <row r="2" spans="2:22" ht="3.75" customHeight="1">
      <c r="B2" s="50"/>
      <c r="C2" s="50"/>
      <c r="D2" s="50"/>
      <c r="E2" s="50"/>
      <c r="F2" s="50"/>
      <c r="G2" s="50"/>
      <c r="H2" s="50"/>
      <c r="I2" s="50"/>
      <c r="J2" s="50"/>
      <c r="K2" s="50"/>
      <c r="L2" s="50"/>
      <c r="M2" s="50"/>
      <c r="N2" s="50"/>
      <c r="O2" s="50"/>
      <c r="P2" s="50"/>
      <c r="Q2" s="50"/>
      <c r="R2" s="50"/>
      <c r="S2" s="50"/>
      <c r="T2" s="50"/>
      <c r="U2" s="50"/>
      <c r="V2" s="50"/>
    </row>
    <row r="3" spans="2:22" ht="15" customHeight="1">
      <c r="B3" s="241"/>
      <c r="C3" s="241"/>
      <c r="D3" s="241"/>
      <c r="E3" s="241"/>
      <c r="F3" s="241"/>
      <c r="G3" s="241"/>
      <c r="H3" s="241"/>
      <c r="I3" s="241"/>
      <c r="J3" s="241"/>
      <c r="K3" s="241"/>
      <c r="L3" s="601" t="s">
        <v>940</v>
      </c>
      <c r="M3" s="601"/>
      <c r="N3" s="601"/>
      <c r="O3" s="601"/>
      <c r="P3" s="601"/>
      <c r="Q3" s="601"/>
      <c r="R3" s="601"/>
      <c r="S3" s="601"/>
      <c r="T3" s="601"/>
      <c r="U3" s="653" t="s">
        <v>941</v>
      </c>
      <c r="V3" s="550"/>
    </row>
    <row r="4" spans="2:22" ht="15" customHeight="1">
      <c r="B4" s="612" t="s">
        <v>48</v>
      </c>
      <c r="C4" s="612"/>
      <c r="D4" s="612"/>
      <c r="E4" s="612"/>
      <c r="F4" s="612"/>
      <c r="G4" s="612"/>
      <c r="H4" s="612"/>
      <c r="I4" s="612"/>
      <c r="J4" s="612"/>
      <c r="K4" s="612"/>
      <c r="L4" s="651">
        <f>'A. Resumen Costes Personal'!N17</f>
        <v>3690983.6485113017</v>
      </c>
      <c r="M4" s="651"/>
      <c r="N4" s="651"/>
      <c r="O4" s="651"/>
      <c r="P4" s="651"/>
      <c r="Q4" s="651"/>
      <c r="R4" s="651"/>
      <c r="S4" s="651"/>
      <c r="T4" s="651"/>
      <c r="U4" s="652">
        <f>L4/$L$10</f>
        <v>0.76781617418580705</v>
      </c>
      <c r="V4" s="652"/>
    </row>
    <row r="5" spans="2:22" ht="15" customHeight="1">
      <c r="B5" s="612" t="s">
        <v>49</v>
      </c>
      <c r="C5" s="612"/>
      <c r="D5" s="612"/>
      <c r="E5" s="612"/>
      <c r="F5" s="612"/>
      <c r="G5" s="612"/>
      <c r="H5" s="612"/>
      <c r="I5" s="612"/>
      <c r="J5" s="612"/>
      <c r="K5" s="612"/>
      <c r="L5" s="651">
        <f>'B. Resumen Costes Veh_Maq'!L6:O6</f>
        <v>561260.98467801302</v>
      </c>
      <c r="M5" s="651"/>
      <c r="N5" s="651"/>
      <c r="O5" s="651"/>
      <c r="P5" s="651"/>
      <c r="Q5" s="651"/>
      <c r="R5" s="651"/>
      <c r="S5" s="651"/>
      <c r="T5" s="651"/>
      <c r="U5" s="652">
        <f t="shared" ref="U5:U10" si="0">L5/$L$10</f>
        <v>0.11675621000083422</v>
      </c>
      <c r="V5" s="652"/>
    </row>
    <row r="6" spans="2:22" ht="15" customHeight="1">
      <c r="B6" s="612" t="s">
        <v>50</v>
      </c>
      <c r="C6" s="612"/>
      <c r="D6" s="612"/>
      <c r="E6" s="612"/>
      <c r="F6" s="612"/>
      <c r="G6" s="612"/>
      <c r="H6" s="612"/>
      <c r="I6" s="612"/>
      <c r="J6" s="612"/>
      <c r="K6" s="612"/>
      <c r="L6" s="651">
        <f>'C. Resumen Costes Vest_Util_Her'!N8</f>
        <v>58890.628125000003</v>
      </c>
      <c r="M6" s="651"/>
      <c r="N6" s="651"/>
      <c r="O6" s="651"/>
      <c r="P6" s="651"/>
      <c r="Q6" s="651"/>
      <c r="R6" s="651"/>
      <c r="S6" s="651"/>
      <c r="T6" s="651"/>
      <c r="U6" s="652">
        <f t="shared" si="0"/>
        <v>1.2250711758252899E-2</v>
      </c>
      <c r="V6" s="652"/>
    </row>
    <row r="7" spans="2:22" ht="15" customHeight="1">
      <c r="B7" s="612" t="s">
        <v>51</v>
      </c>
      <c r="C7" s="612"/>
      <c r="D7" s="612"/>
      <c r="E7" s="612"/>
      <c r="F7" s="612"/>
      <c r="G7" s="612"/>
      <c r="H7" s="612"/>
      <c r="I7" s="612"/>
      <c r="J7" s="612"/>
      <c r="K7" s="612"/>
      <c r="L7" s="651">
        <f>'D. Resumen Costes Locales e ins'!N6</f>
        <v>152880</v>
      </c>
      <c r="M7" s="651"/>
      <c r="N7" s="651"/>
      <c r="O7" s="651"/>
      <c r="P7" s="651"/>
      <c r="Q7" s="651"/>
      <c r="R7" s="651"/>
      <c r="S7" s="651"/>
      <c r="T7" s="651"/>
      <c r="U7" s="652">
        <f t="shared" si="0"/>
        <v>3.1802833035272586E-2</v>
      </c>
      <c r="V7" s="652"/>
    </row>
    <row r="8" spans="2:22" ht="15" customHeight="1">
      <c r="B8" s="612" t="s">
        <v>52</v>
      </c>
      <c r="C8" s="612"/>
      <c r="D8" s="612"/>
      <c r="E8" s="612"/>
      <c r="F8" s="612"/>
      <c r="G8" s="612"/>
      <c r="H8" s="612"/>
      <c r="I8" s="612"/>
      <c r="J8" s="612"/>
      <c r="K8" s="612"/>
      <c r="L8" s="651">
        <f>'E. Resumen Costes Materiales '!N6</f>
        <v>130744.72534999999</v>
      </c>
      <c r="M8" s="651"/>
      <c r="N8" s="651"/>
      <c r="O8" s="651"/>
      <c r="P8" s="651"/>
      <c r="Q8" s="651"/>
      <c r="R8" s="651"/>
      <c r="S8" s="651"/>
      <c r="T8" s="651"/>
      <c r="U8" s="652">
        <f t="shared" si="0"/>
        <v>2.7198146719967432E-2</v>
      </c>
      <c r="V8" s="652"/>
    </row>
    <row r="9" spans="2:22" ht="15" customHeight="1">
      <c r="B9" s="612" t="s">
        <v>53</v>
      </c>
      <c r="C9" s="612"/>
      <c r="D9" s="612"/>
      <c r="E9" s="612"/>
      <c r="F9" s="612"/>
      <c r="G9" s="612"/>
      <c r="H9" s="612"/>
      <c r="I9" s="612"/>
      <c r="J9" s="612"/>
      <c r="K9" s="612"/>
      <c r="L9" s="651">
        <f>'F. Resumen Otros Costes'!L8</f>
        <v>212358.92096383477</v>
      </c>
      <c r="M9" s="651"/>
      <c r="N9" s="651"/>
      <c r="O9" s="651"/>
      <c r="P9" s="651"/>
      <c r="Q9" s="651"/>
      <c r="R9" s="651"/>
      <c r="S9" s="651"/>
      <c r="T9" s="651"/>
      <c r="U9" s="652">
        <f t="shared" si="0"/>
        <v>4.4175924299865811E-2</v>
      </c>
      <c r="V9" s="652"/>
    </row>
    <row r="10" spans="2:22" ht="15" customHeight="1">
      <c r="B10" s="661" t="s">
        <v>943</v>
      </c>
      <c r="C10" s="662"/>
      <c r="D10" s="662"/>
      <c r="E10" s="662"/>
      <c r="F10" s="662"/>
      <c r="G10" s="662"/>
      <c r="H10" s="662"/>
      <c r="I10" s="662"/>
      <c r="J10" s="662"/>
      <c r="K10" s="662"/>
      <c r="L10" s="663">
        <f>L4+L5+L6+L7+L8+L9</f>
        <v>4807118.9076281497</v>
      </c>
      <c r="M10" s="664"/>
      <c r="N10" s="664"/>
      <c r="O10" s="664"/>
      <c r="P10" s="664"/>
      <c r="Q10" s="664"/>
      <c r="R10" s="664"/>
      <c r="S10" s="664"/>
      <c r="T10" s="665"/>
      <c r="U10" s="679">
        <f t="shared" si="0"/>
        <v>1</v>
      </c>
      <c r="V10" s="680"/>
    </row>
    <row r="11" spans="2:22" ht="15" customHeight="1">
      <c r="B11" s="612" t="s">
        <v>12</v>
      </c>
      <c r="C11" s="612"/>
      <c r="D11" s="612"/>
      <c r="E11" s="612"/>
      <c r="F11" s="612"/>
      <c r="G11" s="612"/>
      <c r="H11" s="612"/>
      <c r="I11" s="612"/>
      <c r="J11" s="612"/>
      <c r="K11" s="612"/>
      <c r="L11" s="658">
        <v>0.13</v>
      </c>
      <c r="M11" s="659"/>
      <c r="N11" s="659"/>
      <c r="O11" s="651">
        <f>L10*L11</f>
        <v>624925.45799165952</v>
      </c>
      <c r="P11" s="660"/>
      <c r="Q11" s="660"/>
      <c r="R11" s="660"/>
      <c r="S11" s="660"/>
      <c r="T11" s="660"/>
      <c r="U11" s="654"/>
      <c r="V11" s="655"/>
    </row>
    <row r="12" spans="2:22" ht="15" customHeight="1">
      <c r="B12" s="612" t="s">
        <v>1033</v>
      </c>
      <c r="C12" s="612"/>
      <c r="D12" s="612"/>
      <c r="E12" s="612"/>
      <c r="F12" s="612"/>
      <c r="G12" s="612"/>
      <c r="H12" s="612"/>
      <c r="I12" s="612"/>
      <c r="J12" s="612"/>
      <c r="K12" s="612"/>
      <c r="L12" s="658">
        <v>0.06</v>
      </c>
      <c r="M12" s="659"/>
      <c r="N12" s="659"/>
      <c r="O12" s="651">
        <f>L10*L12</f>
        <v>288427.13445768895</v>
      </c>
      <c r="P12" s="660"/>
      <c r="Q12" s="660"/>
      <c r="R12" s="660"/>
      <c r="S12" s="660"/>
      <c r="T12" s="660"/>
      <c r="U12" s="656"/>
      <c r="V12" s="657"/>
    </row>
    <row r="13" spans="2:22" ht="15" customHeight="1">
      <c r="B13" s="671" t="s">
        <v>15</v>
      </c>
      <c r="C13" s="671"/>
      <c r="D13" s="671"/>
      <c r="E13" s="671"/>
      <c r="F13" s="671"/>
      <c r="G13" s="671"/>
      <c r="H13" s="671"/>
      <c r="I13" s="671"/>
      <c r="J13" s="671"/>
      <c r="K13" s="671"/>
      <c r="L13" s="672">
        <f>L10+O11+O12</f>
        <v>5720471.5000774981</v>
      </c>
      <c r="M13" s="673"/>
      <c r="N13" s="673"/>
      <c r="O13" s="673"/>
      <c r="P13" s="673"/>
      <c r="Q13" s="673"/>
      <c r="R13" s="673"/>
      <c r="S13" s="673"/>
      <c r="T13" s="674"/>
      <c r="U13" s="403"/>
      <c r="V13" s="402"/>
    </row>
    <row r="14" spans="2:22" ht="15" customHeight="1">
      <c r="B14" s="612" t="s">
        <v>55</v>
      </c>
      <c r="C14" s="612"/>
      <c r="D14" s="612"/>
      <c r="E14" s="612"/>
      <c r="F14" s="612"/>
      <c r="G14" s="612"/>
      <c r="H14" s="612"/>
      <c r="I14" s="612"/>
      <c r="J14" s="612"/>
      <c r="K14" s="612"/>
      <c r="L14" s="675">
        <v>0.8</v>
      </c>
      <c r="M14" s="676"/>
      <c r="N14" s="676"/>
      <c r="O14" s="651">
        <f>L13*L14</f>
        <v>4576377.2000619983</v>
      </c>
      <c r="P14" s="660"/>
      <c r="Q14" s="660"/>
      <c r="R14" s="660"/>
      <c r="S14" s="660"/>
      <c r="T14" s="660"/>
      <c r="U14" s="654"/>
      <c r="V14" s="655"/>
    </row>
    <row r="15" spans="2:22" ht="15" customHeight="1">
      <c r="B15" s="612" t="s">
        <v>17</v>
      </c>
      <c r="C15" s="612"/>
      <c r="D15" s="612"/>
      <c r="E15" s="612"/>
      <c r="F15" s="612"/>
      <c r="G15" s="612"/>
      <c r="H15" s="612"/>
      <c r="I15" s="612"/>
      <c r="J15" s="612"/>
      <c r="K15" s="612"/>
      <c r="L15" s="613">
        <v>0.21</v>
      </c>
      <c r="M15" s="614"/>
      <c r="N15" s="614"/>
      <c r="O15" s="651">
        <f>O14*L15</f>
        <v>961039.2120130196</v>
      </c>
      <c r="P15" s="660"/>
      <c r="Q15" s="660"/>
      <c r="R15" s="660"/>
      <c r="S15" s="660"/>
      <c r="T15" s="660"/>
      <c r="U15" s="677"/>
      <c r="V15" s="678"/>
    </row>
    <row r="16" spans="2:22" ht="15" customHeight="1">
      <c r="B16" s="612" t="s">
        <v>56</v>
      </c>
      <c r="C16" s="612"/>
      <c r="D16" s="612"/>
      <c r="E16" s="612"/>
      <c r="F16" s="612"/>
      <c r="G16" s="612"/>
      <c r="H16" s="612"/>
      <c r="I16" s="612"/>
      <c r="J16" s="612"/>
      <c r="K16" s="612"/>
      <c r="L16" s="669">
        <f>100%-L14</f>
        <v>0.19999999999999996</v>
      </c>
      <c r="M16" s="670"/>
      <c r="N16" s="670"/>
      <c r="O16" s="651">
        <f>L13*L16</f>
        <v>1144094.3000154993</v>
      </c>
      <c r="P16" s="660"/>
      <c r="Q16" s="660"/>
      <c r="R16" s="660"/>
      <c r="S16" s="660"/>
      <c r="T16" s="660"/>
      <c r="U16" s="677"/>
      <c r="V16" s="678"/>
    </row>
    <row r="17" spans="1:22" ht="15" customHeight="1">
      <c r="B17" s="612" t="s">
        <v>19</v>
      </c>
      <c r="C17" s="612"/>
      <c r="D17" s="612"/>
      <c r="E17" s="612"/>
      <c r="F17" s="612"/>
      <c r="G17" s="612"/>
      <c r="H17" s="612"/>
      <c r="I17" s="612"/>
      <c r="J17" s="612"/>
      <c r="K17" s="612"/>
      <c r="L17" s="613">
        <v>0.1</v>
      </c>
      <c r="M17" s="614"/>
      <c r="N17" s="614"/>
      <c r="O17" s="651">
        <f>O16*L17</f>
        <v>114409.43000154995</v>
      </c>
      <c r="P17" s="660"/>
      <c r="Q17" s="660"/>
      <c r="R17" s="660"/>
      <c r="S17" s="660"/>
      <c r="T17" s="660"/>
      <c r="U17" s="656"/>
      <c r="V17" s="657"/>
    </row>
    <row r="18" spans="1:22" ht="15" customHeight="1">
      <c r="B18" s="666" t="s">
        <v>942</v>
      </c>
      <c r="C18" s="666"/>
      <c r="D18" s="666"/>
      <c r="E18" s="666"/>
      <c r="F18" s="666"/>
      <c r="G18" s="666"/>
      <c r="H18" s="666"/>
      <c r="I18" s="666"/>
      <c r="J18" s="666"/>
      <c r="K18" s="666"/>
      <c r="L18" s="404"/>
      <c r="M18" s="404"/>
      <c r="N18" s="404"/>
      <c r="O18" s="667">
        <f>L13+O15+O17</f>
        <v>6795920.1420920677</v>
      </c>
      <c r="P18" s="668"/>
      <c r="Q18" s="668"/>
      <c r="R18" s="668"/>
      <c r="S18" s="668"/>
      <c r="T18" s="668"/>
      <c r="U18" s="405"/>
      <c r="V18" s="405"/>
    </row>
    <row r="19" spans="1:22" s="46" customFormat="1" ht="15" customHeight="1">
      <c r="B19" s="48"/>
      <c r="C19" s="48"/>
      <c r="D19" s="48"/>
      <c r="E19" s="48"/>
      <c r="F19" s="48"/>
      <c r="G19" s="48"/>
      <c r="H19" s="48"/>
      <c r="I19" s="48"/>
      <c r="J19" s="48"/>
      <c r="K19" s="48"/>
      <c r="L19" s="48"/>
      <c r="M19" s="48"/>
      <c r="N19" s="48"/>
      <c r="O19" s="48"/>
      <c r="P19" s="48"/>
      <c r="Q19" s="48"/>
      <c r="R19" s="48"/>
      <c r="S19" s="48"/>
      <c r="T19" s="48"/>
      <c r="U19" s="48"/>
      <c r="V19" s="48"/>
    </row>
    <row r="20" spans="1:22" s="46" customFormat="1" ht="15" customHeight="1">
      <c r="B20" s="48"/>
      <c r="C20" s="48"/>
      <c r="D20" s="48"/>
      <c r="E20" s="48"/>
      <c r="F20" s="48"/>
      <c r="G20" s="48"/>
      <c r="H20" s="48"/>
      <c r="I20" s="48"/>
      <c r="J20" s="48"/>
      <c r="K20" s="48"/>
      <c r="L20" s="48"/>
      <c r="M20" s="48"/>
      <c r="N20" s="48"/>
      <c r="O20" s="48"/>
      <c r="P20" s="48"/>
      <c r="Q20" s="48"/>
      <c r="R20" s="48"/>
      <c r="S20" s="48"/>
      <c r="T20" s="48"/>
      <c r="U20" s="48"/>
      <c r="V20" s="48"/>
    </row>
    <row r="21" spans="1:22" s="46" customFormat="1" ht="15" customHeight="1">
      <c r="B21" s="591" t="s">
        <v>968</v>
      </c>
      <c r="C21" s="563"/>
      <c r="D21" s="563"/>
      <c r="E21" s="563"/>
      <c r="F21" s="563"/>
      <c r="G21" s="563"/>
      <c r="H21" s="563"/>
      <c r="I21" s="563"/>
      <c r="J21" s="563"/>
      <c r="K21" s="563"/>
      <c r="L21" s="563"/>
      <c r="M21" s="563"/>
      <c r="N21" s="563"/>
      <c r="O21" s="563"/>
      <c r="P21" s="563"/>
      <c r="Q21" s="563"/>
      <c r="R21" s="563"/>
      <c r="S21" s="563"/>
      <c r="T21" s="563"/>
      <c r="U21" s="563"/>
      <c r="V21" s="563"/>
    </row>
    <row r="22" spans="1:22" s="46" customFormat="1" ht="4.95" customHeight="1">
      <c r="B22" s="50"/>
      <c r="C22" s="50"/>
      <c r="D22" s="50"/>
      <c r="E22" s="50"/>
      <c r="F22" s="50"/>
      <c r="G22" s="50"/>
      <c r="H22" s="50"/>
      <c r="I22" s="50"/>
      <c r="J22" s="50"/>
      <c r="K22" s="50"/>
      <c r="L22" s="50"/>
      <c r="M22" s="50"/>
      <c r="N22" s="50"/>
      <c r="O22" s="50"/>
      <c r="P22" s="50"/>
      <c r="Q22" s="50"/>
      <c r="R22" s="50"/>
      <c r="S22" s="50"/>
      <c r="T22" s="50"/>
      <c r="U22" s="50"/>
      <c r="V22" s="50"/>
    </row>
    <row r="23" spans="1:22" s="46" customFormat="1" ht="15" customHeight="1">
      <c r="B23" s="241"/>
      <c r="C23" s="241"/>
      <c r="D23" s="241"/>
      <c r="E23" s="241"/>
      <c r="F23" s="241"/>
      <c r="G23" s="241"/>
      <c r="H23" s="241"/>
      <c r="I23" s="241"/>
      <c r="J23" s="241"/>
      <c r="K23" s="241"/>
      <c r="L23" s="601"/>
      <c r="M23" s="601"/>
      <c r="N23" s="601"/>
      <c r="O23" s="601"/>
      <c r="P23" s="601"/>
      <c r="Q23" s="601"/>
      <c r="R23" s="601"/>
      <c r="S23" s="601"/>
      <c r="T23" s="601"/>
      <c r="U23" s="602" t="s">
        <v>973</v>
      </c>
      <c r="V23" s="550"/>
    </row>
    <row r="24" spans="1:22" s="46" customFormat="1" ht="15" customHeight="1">
      <c r="A24" s="416" t="s">
        <v>974</v>
      </c>
      <c r="B24" s="683" t="s">
        <v>969</v>
      </c>
      <c r="C24" s="684"/>
      <c r="D24" s="684"/>
      <c r="E24" s="684"/>
      <c r="F24" s="684"/>
      <c r="G24" s="684"/>
      <c r="H24" s="684"/>
      <c r="I24" s="684"/>
      <c r="J24" s="684"/>
      <c r="K24" s="684"/>
      <c r="L24" s="684"/>
      <c r="M24" s="684"/>
      <c r="N24" s="684"/>
      <c r="O24" s="684"/>
      <c r="P24" s="684"/>
      <c r="Q24" s="684"/>
      <c r="R24" s="684"/>
      <c r="S24" s="684"/>
      <c r="T24" s="685"/>
      <c r="U24" s="682">
        <f>L4/L10</f>
        <v>0.76781617418580705</v>
      </c>
      <c r="V24" s="682"/>
    </row>
    <row r="25" spans="1:22" s="46" customFormat="1" ht="15" customHeight="1">
      <c r="A25" s="416" t="s">
        <v>975</v>
      </c>
      <c r="B25" s="686" t="s">
        <v>970</v>
      </c>
      <c r="C25" s="687"/>
      <c r="D25" s="687"/>
      <c r="E25" s="687"/>
      <c r="F25" s="687"/>
      <c r="G25" s="687"/>
      <c r="H25" s="687"/>
      <c r="I25" s="687"/>
      <c r="J25" s="687"/>
      <c r="K25" s="687"/>
      <c r="L25" s="687"/>
      <c r="M25" s="687"/>
      <c r="N25" s="687"/>
      <c r="O25" s="687"/>
      <c r="P25" s="687"/>
      <c r="Q25" s="687"/>
      <c r="R25" s="687"/>
      <c r="S25" s="687"/>
      <c r="T25" s="688"/>
      <c r="U25" s="652">
        <f>('B. Resumen Costes Veh_Maq'!L16)/CanonAnual!L10</f>
        <v>3.2205477537560347E-2</v>
      </c>
      <c r="V25" s="652"/>
    </row>
    <row r="26" spans="1:22" s="46" customFormat="1" ht="15" customHeight="1">
      <c r="A26" s="416" t="s">
        <v>976</v>
      </c>
      <c r="B26" s="683" t="s">
        <v>971</v>
      </c>
      <c r="C26" s="684"/>
      <c r="D26" s="684"/>
      <c r="E26" s="684"/>
      <c r="F26" s="684"/>
      <c r="G26" s="684"/>
      <c r="H26" s="684"/>
      <c r="I26" s="684"/>
      <c r="J26" s="684"/>
      <c r="K26" s="684"/>
      <c r="L26" s="684"/>
      <c r="M26" s="684"/>
      <c r="N26" s="684"/>
      <c r="O26" s="684"/>
      <c r="P26" s="684"/>
      <c r="Q26" s="684"/>
      <c r="R26" s="684"/>
      <c r="S26" s="684"/>
      <c r="T26" s="685"/>
      <c r="U26" s="682">
        <f>('B. Resumen Costes Veh_Maq'!H16)/L10</f>
        <v>1.0210431027486949E-3</v>
      </c>
      <c r="V26" s="682"/>
    </row>
    <row r="27" spans="1:22" s="46" customFormat="1" ht="15" customHeight="1">
      <c r="A27" s="416" t="s">
        <v>977</v>
      </c>
      <c r="B27" s="686" t="s">
        <v>972</v>
      </c>
      <c r="C27" s="687"/>
      <c r="D27" s="687"/>
      <c r="E27" s="687"/>
      <c r="F27" s="687"/>
      <c r="G27" s="687"/>
      <c r="H27" s="687"/>
      <c r="I27" s="687"/>
      <c r="J27" s="687"/>
      <c r="K27" s="687"/>
      <c r="L27" s="687"/>
      <c r="M27" s="687"/>
      <c r="N27" s="687"/>
      <c r="O27" s="687"/>
      <c r="P27" s="687"/>
      <c r="Q27" s="687"/>
      <c r="R27" s="687"/>
      <c r="S27" s="687"/>
      <c r="T27" s="688"/>
      <c r="U27" s="652">
        <f>100%-U26-U25-U24</f>
        <v>0.19895730517388399</v>
      </c>
      <c r="V27" s="652"/>
    </row>
    <row r="28" spans="1:22" s="46" customFormat="1" ht="15" customHeight="1">
      <c r="B28" s="666" t="s">
        <v>47</v>
      </c>
      <c r="C28" s="666"/>
      <c r="D28" s="666"/>
      <c r="E28" s="666"/>
      <c r="F28" s="666"/>
      <c r="G28" s="666"/>
      <c r="H28" s="666"/>
      <c r="I28" s="666"/>
      <c r="J28" s="666"/>
      <c r="K28" s="666"/>
      <c r="L28" s="404"/>
      <c r="M28" s="404"/>
      <c r="N28" s="404"/>
      <c r="O28" s="667"/>
      <c r="P28" s="668"/>
      <c r="Q28" s="668"/>
      <c r="R28" s="668"/>
      <c r="S28" s="668"/>
      <c r="T28" s="668"/>
      <c r="U28" s="681">
        <f>SUM(U24:V27)</f>
        <v>1</v>
      </c>
      <c r="V28" s="681"/>
    </row>
    <row r="29" spans="1:22" s="46" customFormat="1" ht="15" customHeight="1">
      <c r="B29" s="48"/>
      <c r="C29" s="48"/>
      <c r="D29" s="48"/>
      <c r="E29" s="48"/>
      <c r="F29" s="48"/>
      <c r="G29" s="48"/>
      <c r="H29" s="48"/>
      <c r="I29" s="48"/>
      <c r="J29" s="48"/>
      <c r="K29" s="48"/>
      <c r="L29" s="48"/>
      <c r="M29" s="48"/>
      <c r="N29" s="48"/>
      <c r="O29" s="48"/>
      <c r="P29" s="48"/>
      <c r="Q29" s="48"/>
      <c r="R29" s="48"/>
      <c r="S29" s="48"/>
      <c r="T29" s="48"/>
      <c r="U29" s="48"/>
      <c r="V29" s="48"/>
    </row>
    <row r="30" spans="1:22" s="46" customFormat="1" ht="15" customHeight="1">
      <c r="B30" s="48"/>
      <c r="C30" s="48"/>
      <c r="D30" s="48"/>
      <c r="E30" s="48"/>
      <c r="F30" s="48"/>
      <c r="G30" s="48"/>
      <c r="H30" s="48"/>
      <c r="I30" s="48"/>
      <c r="J30" s="48"/>
      <c r="K30" s="48"/>
      <c r="L30" s="48"/>
      <c r="M30" s="48"/>
      <c r="N30" s="48"/>
      <c r="O30" s="48"/>
      <c r="P30" s="48"/>
      <c r="Q30" s="48"/>
      <c r="R30" s="48"/>
      <c r="S30" s="48"/>
      <c r="T30" s="48"/>
      <c r="U30" s="48"/>
      <c r="V30" s="48"/>
    </row>
    <row r="31" spans="1:22" s="46" customFormat="1" ht="15" customHeight="1">
      <c r="B31" s="48"/>
      <c r="C31" s="48"/>
      <c r="D31" s="48"/>
      <c r="E31" s="48"/>
      <c r="F31" s="48"/>
      <c r="G31" s="48"/>
      <c r="H31" s="48"/>
      <c r="I31" s="48"/>
      <c r="J31" s="48"/>
      <c r="K31" s="48"/>
      <c r="L31" s="48"/>
      <c r="M31" s="48"/>
      <c r="N31" s="48"/>
      <c r="O31" s="48"/>
      <c r="P31" s="48"/>
      <c r="Q31" s="48"/>
      <c r="R31" s="48"/>
      <c r="S31" s="48"/>
      <c r="T31" s="48"/>
      <c r="U31" s="48"/>
      <c r="V31" s="48"/>
    </row>
    <row r="32" spans="1:22" s="46" customFormat="1" ht="15" customHeight="1">
      <c r="B32" s="48"/>
      <c r="C32" s="48"/>
      <c r="D32" s="48"/>
      <c r="E32" s="48"/>
      <c r="F32" s="48"/>
      <c r="G32" s="48"/>
      <c r="H32" s="48"/>
      <c r="I32" s="48"/>
      <c r="J32" s="48"/>
      <c r="K32" s="48"/>
      <c r="L32" s="48"/>
      <c r="M32" s="48"/>
      <c r="N32" s="48"/>
      <c r="O32" s="48"/>
      <c r="P32" s="48"/>
      <c r="Q32" s="48"/>
      <c r="R32" s="48"/>
      <c r="S32" s="48"/>
      <c r="T32" s="48"/>
      <c r="U32" s="48"/>
      <c r="V32" s="48"/>
    </row>
    <row r="33" spans="2:22" s="46" customFormat="1" ht="15" customHeight="1">
      <c r="B33" s="48"/>
      <c r="C33" s="48"/>
      <c r="D33" s="48"/>
      <c r="E33" s="48"/>
      <c r="F33" s="48"/>
      <c r="G33" s="48"/>
      <c r="H33" s="48"/>
      <c r="I33" s="48"/>
      <c r="J33" s="48"/>
      <c r="K33" s="48"/>
      <c r="L33" s="48"/>
      <c r="M33" s="48"/>
      <c r="N33" s="48"/>
      <c r="O33" s="48"/>
      <c r="P33" s="48"/>
      <c r="Q33" s="48"/>
      <c r="R33" s="48"/>
      <c r="S33" s="48"/>
      <c r="T33" s="48"/>
      <c r="U33" s="48"/>
      <c r="V33" s="48"/>
    </row>
    <row r="34" spans="2:22" s="46" customFormat="1" ht="15" customHeight="1">
      <c r="B34" s="48"/>
      <c r="C34" s="48"/>
      <c r="D34" s="48"/>
      <c r="E34" s="48"/>
      <c r="F34" s="48"/>
      <c r="G34" s="48"/>
      <c r="H34" s="48"/>
      <c r="I34" s="48"/>
      <c r="J34" s="48"/>
      <c r="K34" s="48"/>
      <c r="L34" s="48"/>
      <c r="M34" s="48"/>
      <c r="N34" s="48"/>
      <c r="O34" s="48"/>
      <c r="P34" s="48"/>
      <c r="Q34" s="48"/>
      <c r="R34" s="48"/>
      <c r="S34" s="48"/>
      <c r="T34" s="48"/>
      <c r="U34" s="48"/>
      <c r="V34" s="48"/>
    </row>
    <row r="35" spans="2:22" s="46" customFormat="1" ht="15" customHeight="1">
      <c r="B35" s="48"/>
      <c r="C35" s="48"/>
      <c r="D35" s="48"/>
      <c r="E35" s="48"/>
      <c r="F35" s="48"/>
      <c r="G35" s="48"/>
      <c r="H35" s="48"/>
      <c r="I35" s="48"/>
      <c r="J35" s="48"/>
      <c r="K35" s="48"/>
      <c r="L35" s="48"/>
      <c r="M35" s="48"/>
      <c r="N35" s="48"/>
      <c r="O35" s="48"/>
      <c r="P35" s="48"/>
      <c r="Q35" s="48"/>
      <c r="R35" s="48"/>
      <c r="S35" s="48"/>
      <c r="T35" s="48"/>
      <c r="U35" s="48"/>
      <c r="V35" s="48"/>
    </row>
    <row r="36" spans="2:22" s="46" customFormat="1" ht="15" customHeight="1">
      <c r="B36" s="48"/>
      <c r="C36" s="48"/>
      <c r="D36" s="48"/>
      <c r="E36" s="48"/>
      <c r="F36" s="48"/>
      <c r="G36" s="48"/>
      <c r="H36" s="48"/>
      <c r="I36" s="48"/>
      <c r="J36" s="48"/>
      <c r="K36" s="48"/>
      <c r="L36" s="48"/>
      <c r="M36" s="48"/>
      <c r="N36" s="48"/>
      <c r="O36" s="48"/>
      <c r="P36" s="48"/>
      <c r="Q36" s="48"/>
      <c r="R36" s="48"/>
      <c r="S36" s="48"/>
      <c r="T36" s="48"/>
      <c r="U36" s="48"/>
      <c r="V36" s="48"/>
    </row>
    <row r="37" spans="2:22" s="46" customFormat="1" ht="15" customHeight="1">
      <c r="B37" s="48"/>
      <c r="C37" s="48"/>
      <c r="D37" s="48"/>
      <c r="E37" s="48"/>
      <c r="F37" s="48"/>
      <c r="G37" s="48"/>
      <c r="H37" s="48"/>
      <c r="I37" s="48"/>
      <c r="J37" s="48"/>
      <c r="K37" s="48"/>
      <c r="L37" s="48"/>
      <c r="M37" s="48"/>
      <c r="N37" s="48"/>
      <c r="O37" s="48"/>
      <c r="P37" s="48"/>
      <c r="Q37" s="48"/>
      <c r="R37" s="48"/>
      <c r="S37" s="48"/>
      <c r="T37" s="48"/>
      <c r="U37" s="48"/>
      <c r="V37" s="48"/>
    </row>
    <row r="38" spans="2:22" s="46" customFormat="1" ht="15" customHeight="1">
      <c r="B38" s="48"/>
      <c r="C38" s="48"/>
      <c r="D38" s="48"/>
      <c r="E38" s="48"/>
      <c r="F38" s="48"/>
      <c r="G38" s="48"/>
      <c r="H38" s="48"/>
      <c r="I38" s="48"/>
      <c r="J38" s="48"/>
      <c r="K38" s="48"/>
      <c r="L38" s="48"/>
      <c r="M38" s="48"/>
      <c r="N38" s="48"/>
      <c r="O38" s="48"/>
      <c r="P38" s="48"/>
      <c r="Q38" s="48"/>
      <c r="R38" s="48"/>
      <c r="S38" s="48"/>
      <c r="T38" s="48"/>
      <c r="U38" s="48"/>
      <c r="V38" s="48"/>
    </row>
    <row r="39" spans="2:22" s="46" customFormat="1" ht="15" customHeight="1">
      <c r="B39" s="48"/>
      <c r="C39" s="48"/>
      <c r="D39" s="48"/>
      <c r="E39" s="48"/>
      <c r="F39" s="48"/>
      <c r="G39" s="48"/>
      <c r="H39" s="48"/>
      <c r="I39" s="48"/>
      <c r="J39" s="48"/>
      <c r="K39" s="48"/>
      <c r="L39" s="48"/>
      <c r="M39" s="48"/>
      <c r="N39" s="48"/>
      <c r="O39" s="48"/>
      <c r="P39" s="48"/>
      <c r="Q39" s="48"/>
      <c r="R39" s="48"/>
      <c r="S39" s="48"/>
      <c r="T39" s="48"/>
      <c r="U39" s="48"/>
      <c r="V39" s="48"/>
    </row>
    <row r="40" spans="2:22" s="46" customFormat="1" ht="15" customHeight="1">
      <c r="B40" s="48"/>
      <c r="C40" s="48"/>
      <c r="D40" s="48"/>
      <c r="E40" s="48"/>
      <c r="F40" s="48"/>
      <c r="G40" s="48"/>
      <c r="H40" s="48"/>
      <c r="I40" s="48"/>
      <c r="J40" s="48"/>
      <c r="K40" s="48"/>
      <c r="L40" s="48"/>
      <c r="M40" s="48"/>
      <c r="N40" s="48"/>
      <c r="O40" s="48"/>
      <c r="P40" s="48"/>
      <c r="Q40" s="48"/>
      <c r="R40" s="48"/>
      <c r="S40" s="48"/>
      <c r="T40" s="48"/>
      <c r="U40" s="48"/>
      <c r="V40" s="48"/>
    </row>
    <row r="41" spans="2:22" s="46" customFormat="1" ht="15" customHeight="1">
      <c r="B41" s="48"/>
      <c r="C41" s="48"/>
      <c r="D41" s="48"/>
      <c r="E41" s="48"/>
      <c r="F41" s="48"/>
      <c r="G41" s="48"/>
      <c r="H41" s="48"/>
      <c r="I41" s="48"/>
      <c r="J41" s="48"/>
      <c r="K41" s="48"/>
      <c r="L41" s="48"/>
      <c r="M41" s="48"/>
      <c r="N41" s="48"/>
      <c r="O41" s="48"/>
      <c r="P41" s="48"/>
      <c r="Q41" s="48"/>
      <c r="R41" s="48"/>
      <c r="S41" s="48"/>
      <c r="T41" s="48"/>
      <c r="U41" s="48"/>
      <c r="V41" s="48"/>
    </row>
    <row r="42" spans="2:22" s="46" customFormat="1" ht="15" customHeight="1">
      <c r="B42" s="48"/>
      <c r="C42" s="48"/>
      <c r="D42" s="48"/>
      <c r="E42" s="48"/>
      <c r="F42" s="48"/>
      <c r="G42" s="48"/>
      <c r="H42" s="48"/>
      <c r="I42" s="48"/>
      <c r="J42" s="48"/>
      <c r="K42" s="48"/>
      <c r="L42" s="48"/>
      <c r="M42" s="48"/>
      <c r="N42" s="48"/>
      <c r="O42" s="48"/>
      <c r="P42" s="48"/>
      <c r="Q42" s="48"/>
      <c r="R42" s="48"/>
      <c r="S42" s="48"/>
      <c r="T42" s="48"/>
      <c r="U42" s="48"/>
      <c r="V42" s="48"/>
    </row>
    <row r="43" spans="2:22" s="46" customFormat="1" ht="15" customHeight="1">
      <c r="B43" s="48"/>
      <c r="C43" s="48"/>
      <c r="D43" s="48"/>
      <c r="E43" s="48"/>
      <c r="F43" s="48"/>
      <c r="G43" s="48"/>
      <c r="H43" s="48"/>
      <c r="I43" s="48"/>
      <c r="J43" s="48"/>
      <c r="K43" s="48"/>
      <c r="L43" s="48"/>
      <c r="M43" s="48"/>
      <c r="N43" s="48"/>
      <c r="O43" s="48"/>
      <c r="P43" s="48"/>
      <c r="Q43" s="48"/>
      <c r="R43" s="48"/>
      <c r="S43" s="48"/>
      <c r="T43" s="48"/>
      <c r="U43" s="48"/>
      <c r="V43" s="48"/>
    </row>
    <row r="44" spans="2:22" s="46" customFormat="1" ht="15" customHeight="1">
      <c r="B44" s="48"/>
      <c r="C44" s="48"/>
      <c r="D44" s="48"/>
      <c r="E44" s="48"/>
      <c r="F44" s="48"/>
      <c r="G44" s="48"/>
      <c r="H44" s="48"/>
      <c r="I44" s="48"/>
      <c r="J44" s="48"/>
      <c r="K44" s="48"/>
      <c r="L44" s="48"/>
      <c r="M44" s="48"/>
      <c r="N44" s="48"/>
      <c r="O44" s="48"/>
      <c r="P44" s="48"/>
      <c r="Q44" s="48"/>
      <c r="R44" s="48"/>
      <c r="S44" s="48"/>
      <c r="T44" s="48"/>
      <c r="U44" s="48"/>
      <c r="V44" s="48"/>
    </row>
    <row r="45" spans="2:22" s="46" customFormat="1" ht="15" customHeight="1">
      <c r="B45" s="48"/>
      <c r="C45" s="48"/>
      <c r="D45" s="48"/>
      <c r="E45" s="48"/>
      <c r="F45" s="48"/>
      <c r="G45" s="48"/>
      <c r="H45" s="48"/>
      <c r="I45" s="48"/>
      <c r="J45" s="48"/>
      <c r="K45" s="48"/>
      <c r="L45" s="48"/>
      <c r="M45" s="48"/>
      <c r="N45" s="48"/>
      <c r="O45" s="48"/>
      <c r="P45" s="48"/>
      <c r="Q45" s="48"/>
      <c r="R45" s="48"/>
      <c r="S45" s="48"/>
      <c r="T45" s="48"/>
      <c r="U45" s="48"/>
      <c r="V45" s="48"/>
    </row>
    <row r="46" spans="2:22" s="46" customFormat="1" ht="15" customHeight="1">
      <c r="B46" s="48"/>
      <c r="C46" s="48"/>
      <c r="D46" s="48"/>
      <c r="E46" s="48"/>
      <c r="F46" s="48"/>
      <c r="G46" s="48"/>
      <c r="H46" s="48"/>
      <c r="I46" s="48"/>
      <c r="J46" s="48"/>
      <c r="K46" s="48"/>
      <c r="L46" s="48"/>
      <c r="M46" s="48"/>
      <c r="N46" s="48"/>
      <c r="O46" s="48"/>
      <c r="P46" s="48"/>
      <c r="Q46" s="48"/>
      <c r="R46" s="48"/>
      <c r="S46" s="48"/>
      <c r="T46" s="48"/>
      <c r="U46" s="48"/>
      <c r="V46" s="48"/>
    </row>
    <row r="47" spans="2:22" s="46" customFormat="1" ht="15" customHeight="1">
      <c r="B47" s="48"/>
      <c r="C47" s="48"/>
      <c r="D47" s="48"/>
      <c r="E47" s="48"/>
      <c r="F47" s="48"/>
      <c r="G47" s="48"/>
      <c r="H47" s="48"/>
      <c r="I47" s="48"/>
      <c r="J47" s="48"/>
      <c r="K47" s="48"/>
      <c r="L47" s="48"/>
      <c r="M47" s="48"/>
      <c r="N47" s="48"/>
      <c r="O47" s="48"/>
      <c r="P47" s="48"/>
      <c r="Q47" s="48"/>
      <c r="R47" s="48"/>
      <c r="S47" s="48"/>
      <c r="T47" s="48"/>
      <c r="U47" s="48"/>
      <c r="V47" s="48"/>
    </row>
    <row r="48" spans="2:22" s="46" customFormat="1" ht="15" customHeight="1">
      <c r="B48" s="48"/>
      <c r="C48" s="48"/>
      <c r="D48" s="48"/>
      <c r="E48" s="48"/>
      <c r="F48" s="48"/>
      <c r="G48" s="48"/>
      <c r="H48" s="48"/>
      <c r="I48" s="48"/>
      <c r="J48" s="48"/>
      <c r="K48" s="48"/>
      <c r="L48" s="48"/>
      <c r="M48" s="48"/>
      <c r="N48" s="48"/>
      <c r="O48" s="48"/>
      <c r="P48" s="48"/>
      <c r="Q48" s="48"/>
      <c r="R48" s="48"/>
      <c r="S48" s="48"/>
      <c r="T48" s="48"/>
      <c r="U48" s="48"/>
      <c r="V48" s="48"/>
    </row>
    <row r="49" spans="2:22" s="46" customFormat="1" ht="15" customHeight="1">
      <c r="B49" s="48"/>
      <c r="C49" s="48"/>
      <c r="D49" s="48"/>
      <c r="E49" s="48"/>
      <c r="F49" s="48"/>
      <c r="G49" s="48"/>
      <c r="H49" s="48"/>
      <c r="I49" s="48"/>
      <c r="J49" s="48"/>
      <c r="K49" s="48"/>
      <c r="L49" s="48"/>
      <c r="M49" s="48"/>
      <c r="N49" s="48"/>
      <c r="O49" s="48"/>
      <c r="P49" s="48"/>
      <c r="Q49" s="48"/>
      <c r="R49" s="48"/>
      <c r="S49" s="48"/>
      <c r="T49" s="48"/>
      <c r="U49" s="48"/>
      <c r="V49" s="48"/>
    </row>
    <row r="50" spans="2:22" s="46" customFormat="1" ht="15" customHeight="1">
      <c r="B50" s="48"/>
      <c r="C50" s="48"/>
      <c r="D50" s="48"/>
      <c r="E50" s="48"/>
      <c r="F50" s="48"/>
      <c r="G50" s="48"/>
      <c r="H50" s="48"/>
      <c r="I50" s="48"/>
      <c r="J50" s="48"/>
      <c r="K50" s="48"/>
      <c r="L50" s="48"/>
      <c r="M50" s="48"/>
      <c r="N50" s="48"/>
      <c r="O50" s="48"/>
      <c r="P50" s="48"/>
      <c r="Q50" s="48"/>
      <c r="R50" s="48"/>
      <c r="S50" s="48"/>
      <c r="T50" s="48"/>
      <c r="U50" s="48"/>
      <c r="V50" s="48"/>
    </row>
    <row r="51" spans="2:22" s="46" customFormat="1" ht="15" customHeight="1">
      <c r="B51" s="48"/>
      <c r="C51" s="48"/>
      <c r="D51" s="48"/>
      <c r="E51" s="48"/>
      <c r="F51" s="48"/>
      <c r="G51" s="48"/>
      <c r="H51" s="48"/>
      <c r="I51" s="48"/>
      <c r="J51" s="48"/>
      <c r="K51" s="48"/>
      <c r="L51" s="48"/>
      <c r="M51" s="48"/>
      <c r="N51" s="48"/>
      <c r="O51" s="48"/>
      <c r="P51" s="48"/>
      <c r="Q51" s="48"/>
      <c r="R51" s="48"/>
      <c r="S51" s="48"/>
      <c r="T51" s="48"/>
      <c r="U51" s="48"/>
      <c r="V51" s="48"/>
    </row>
    <row r="52" spans="2:22" s="46" customFormat="1" ht="15" customHeight="1">
      <c r="B52" s="48"/>
      <c r="C52" s="48"/>
      <c r="D52" s="48"/>
      <c r="E52" s="48"/>
      <c r="F52" s="48"/>
      <c r="G52" s="48"/>
      <c r="H52" s="48"/>
      <c r="I52" s="48"/>
      <c r="J52" s="48"/>
      <c r="K52" s="48"/>
      <c r="L52" s="48"/>
      <c r="M52" s="48"/>
      <c r="N52" s="48"/>
      <c r="O52" s="48"/>
      <c r="P52" s="48"/>
      <c r="Q52" s="48"/>
      <c r="R52" s="48"/>
      <c r="S52" s="48"/>
      <c r="T52" s="48"/>
      <c r="U52" s="48"/>
      <c r="V52" s="48"/>
    </row>
    <row r="53" spans="2:22" s="46" customFormat="1" ht="15" customHeight="1">
      <c r="B53" s="48"/>
      <c r="C53" s="48"/>
      <c r="D53" s="48"/>
      <c r="E53" s="48"/>
      <c r="F53" s="48"/>
      <c r="G53" s="48"/>
      <c r="H53" s="48"/>
      <c r="I53" s="48"/>
      <c r="J53" s="48"/>
      <c r="K53" s="48"/>
      <c r="L53" s="48"/>
      <c r="M53" s="48"/>
      <c r="N53" s="48"/>
      <c r="O53" s="48"/>
      <c r="P53" s="48"/>
      <c r="Q53" s="48"/>
      <c r="R53" s="48"/>
      <c r="S53" s="48"/>
      <c r="T53" s="48"/>
      <c r="U53" s="48"/>
      <c r="V53" s="48"/>
    </row>
    <row r="54" spans="2:22" s="46" customFormat="1" ht="15" customHeight="1">
      <c r="B54" s="48"/>
      <c r="C54" s="48"/>
      <c r="D54" s="48"/>
      <c r="E54" s="48"/>
      <c r="F54" s="48"/>
      <c r="G54" s="48"/>
      <c r="H54" s="48"/>
      <c r="I54" s="48"/>
      <c r="J54" s="48"/>
      <c r="K54" s="48"/>
      <c r="L54" s="48"/>
      <c r="M54" s="48"/>
      <c r="N54" s="48"/>
      <c r="O54" s="48"/>
      <c r="P54" s="48"/>
      <c r="Q54" s="48"/>
      <c r="R54" s="48"/>
      <c r="S54" s="48"/>
      <c r="T54" s="48"/>
      <c r="U54" s="48"/>
      <c r="V54" s="48"/>
    </row>
    <row r="55" spans="2:22" s="46" customFormat="1" ht="15" customHeight="1">
      <c r="B55" s="48"/>
      <c r="C55" s="48"/>
      <c r="D55" s="48"/>
      <c r="E55" s="48"/>
      <c r="F55" s="48"/>
      <c r="G55" s="48"/>
      <c r="H55" s="48"/>
      <c r="I55" s="48"/>
      <c r="J55" s="48"/>
      <c r="K55" s="48"/>
      <c r="L55" s="48"/>
      <c r="M55" s="48"/>
      <c r="N55" s="48"/>
      <c r="O55" s="48"/>
      <c r="P55" s="48"/>
      <c r="Q55" s="48"/>
      <c r="R55" s="48"/>
      <c r="S55" s="48"/>
      <c r="T55" s="48"/>
      <c r="U55" s="48"/>
      <c r="V55" s="48"/>
    </row>
    <row r="56" spans="2:22" s="46" customFormat="1" ht="15" customHeight="1">
      <c r="B56" s="48"/>
      <c r="C56" s="48"/>
      <c r="D56" s="48"/>
      <c r="E56" s="48"/>
      <c r="F56" s="48"/>
      <c r="G56" s="48"/>
      <c r="H56" s="48"/>
      <c r="I56" s="48"/>
      <c r="J56" s="48"/>
      <c r="K56" s="48"/>
      <c r="L56" s="48"/>
      <c r="M56" s="48"/>
      <c r="N56" s="48"/>
      <c r="O56" s="48"/>
      <c r="P56" s="48"/>
      <c r="Q56" s="48"/>
      <c r="R56" s="48"/>
      <c r="S56" s="48"/>
      <c r="T56" s="48"/>
      <c r="U56" s="48"/>
      <c r="V56" s="48"/>
    </row>
    <row r="57" spans="2:22" s="46" customFormat="1" ht="15" customHeight="1">
      <c r="B57" s="48"/>
      <c r="C57" s="48"/>
      <c r="D57" s="48"/>
      <c r="E57" s="48"/>
      <c r="F57" s="48"/>
      <c r="G57" s="48"/>
      <c r="H57" s="48"/>
      <c r="I57" s="48"/>
      <c r="J57" s="48"/>
      <c r="K57" s="48"/>
      <c r="L57" s="48"/>
      <c r="M57" s="48"/>
      <c r="N57" s="48"/>
      <c r="O57" s="48"/>
      <c r="P57" s="48"/>
      <c r="Q57" s="48"/>
      <c r="R57" s="48"/>
      <c r="S57" s="48"/>
      <c r="T57" s="48"/>
      <c r="U57" s="48"/>
      <c r="V57" s="48"/>
    </row>
    <row r="58" spans="2:22" s="46" customFormat="1" ht="15" customHeight="1">
      <c r="B58" s="48"/>
      <c r="C58" s="48"/>
      <c r="D58" s="48"/>
      <c r="E58" s="48"/>
      <c r="F58" s="48"/>
      <c r="G58" s="48"/>
      <c r="H58" s="48"/>
      <c r="I58" s="48"/>
      <c r="J58" s="48"/>
      <c r="K58" s="48"/>
      <c r="L58" s="48"/>
      <c r="M58" s="48"/>
      <c r="N58" s="48"/>
      <c r="O58" s="48"/>
      <c r="P58" s="48"/>
      <c r="Q58" s="48"/>
      <c r="R58" s="48"/>
      <c r="S58" s="48"/>
      <c r="T58" s="48"/>
      <c r="U58" s="48"/>
      <c r="V58" s="48"/>
    </row>
    <row r="59" spans="2:22" s="46" customFormat="1" ht="15" customHeight="1">
      <c r="B59" s="48"/>
      <c r="C59" s="48"/>
      <c r="D59" s="48"/>
      <c r="E59" s="48"/>
      <c r="F59" s="48"/>
      <c r="G59" s="48"/>
      <c r="H59" s="48"/>
      <c r="I59" s="48"/>
      <c r="J59" s="48"/>
      <c r="K59" s="48"/>
      <c r="L59" s="48"/>
      <c r="M59" s="48"/>
      <c r="N59" s="48"/>
      <c r="O59" s="48"/>
      <c r="P59" s="48"/>
      <c r="Q59" s="48"/>
      <c r="R59" s="48"/>
      <c r="S59" s="48"/>
      <c r="T59" s="48"/>
      <c r="U59" s="48"/>
      <c r="V59" s="48"/>
    </row>
    <row r="60" spans="2:22" s="46" customFormat="1" ht="15" customHeight="1">
      <c r="B60" s="48"/>
      <c r="C60" s="48"/>
      <c r="D60" s="48"/>
      <c r="E60" s="48"/>
      <c r="F60" s="48"/>
      <c r="G60" s="48"/>
      <c r="H60" s="48"/>
      <c r="I60" s="48"/>
      <c r="J60" s="48"/>
      <c r="K60" s="48"/>
      <c r="L60" s="48"/>
      <c r="M60" s="48"/>
      <c r="N60" s="48"/>
      <c r="O60" s="48"/>
      <c r="P60" s="48"/>
      <c r="Q60" s="48"/>
      <c r="R60" s="48"/>
      <c r="S60" s="48"/>
      <c r="T60" s="48"/>
      <c r="U60" s="48"/>
      <c r="V60" s="48"/>
    </row>
    <row r="61" spans="2:22" s="46" customFormat="1" ht="15" customHeight="1">
      <c r="B61" s="48"/>
      <c r="C61" s="48"/>
      <c r="D61" s="48"/>
      <c r="E61" s="48"/>
      <c r="F61" s="48"/>
      <c r="G61" s="48"/>
      <c r="H61" s="48"/>
      <c r="I61" s="48"/>
      <c r="J61" s="48"/>
      <c r="K61" s="48"/>
      <c r="L61" s="48"/>
      <c r="M61" s="48"/>
      <c r="N61" s="48"/>
      <c r="O61" s="48"/>
      <c r="P61" s="48"/>
      <c r="Q61" s="48"/>
      <c r="R61" s="48"/>
      <c r="S61" s="48"/>
      <c r="T61" s="48"/>
      <c r="U61" s="48"/>
      <c r="V61" s="48"/>
    </row>
    <row r="62" spans="2:22" s="46" customFormat="1" ht="15" customHeight="1">
      <c r="B62" s="48"/>
      <c r="C62" s="48"/>
      <c r="D62" s="48"/>
      <c r="E62" s="48"/>
      <c r="F62" s="48"/>
      <c r="G62" s="48"/>
      <c r="H62" s="48"/>
      <c r="I62" s="48"/>
      <c r="J62" s="48"/>
      <c r="K62" s="48"/>
      <c r="L62" s="48"/>
      <c r="M62" s="48"/>
      <c r="N62" s="48"/>
      <c r="O62" s="48"/>
      <c r="P62" s="48"/>
      <c r="Q62" s="48"/>
      <c r="R62" s="48"/>
      <c r="S62" s="48"/>
      <c r="T62" s="48"/>
      <c r="U62" s="48"/>
      <c r="V62" s="48"/>
    </row>
    <row r="63" spans="2:22" s="46" customFormat="1" ht="15" customHeight="1">
      <c r="B63" s="48"/>
      <c r="C63" s="48"/>
      <c r="D63" s="48"/>
      <c r="E63" s="48"/>
      <c r="F63" s="48"/>
      <c r="G63" s="48"/>
      <c r="H63" s="48"/>
      <c r="I63" s="48"/>
      <c r="J63" s="48"/>
      <c r="K63" s="48"/>
      <c r="L63" s="48"/>
      <c r="M63" s="48"/>
      <c r="N63" s="48"/>
      <c r="O63" s="48"/>
      <c r="P63" s="48"/>
      <c r="Q63" s="48"/>
      <c r="R63" s="48"/>
      <c r="S63" s="48"/>
      <c r="T63" s="48"/>
      <c r="U63" s="48"/>
      <c r="V63" s="48"/>
    </row>
    <row r="64" spans="2:22" s="46" customFormat="1" ht="15" customHeight="1">
      <c r="B64" s="48"/>
      <c r="C64" s="48"/>
      <c r="D64" s="48"/>
      <c r="E64" s="48"/>
      <c r="F64" s="48"/>
      <c r="G64" s="48"/>
      <c r="H64" s="48"/>
      <c r="I64" s="48"/>
      <c r="J64" s="48"/>
      <c r="K64" s="48"/>
      <c r="L64" s="48"/>
      <c r="M64" s="48"/>
      <c r="N64" s="48"/>
      <c r="O64" s="48"/>
      <c r="P64" s="48"/>
      <c r="Q64" s="48"/>
      <c r="R64" s="48"/>
      <c r="S64" s="48"/>
      <c r="T64" s="48"/>
      <c r="U64" s="48"/>
      <c r="V64" s="48"/>
    </row>
    <row r="65" spans="2:22" s="46" customFormat="1" ht="15" customHeight="1">
      <c r="B65" s="48"/>
      <c r="C65" s="48"/>
      <c r="D65" s="48"/>
      <c r="E65" s="48"/>
      <c r="F65" s="48"/>
      <c r="G65" s="48"/>
      <c r="H65" s="48"/>
      <c r="I65" s="48"/>
      <c r="J65" s="48"/>
      <c r="K65" s="48"/>
      <c r="L65" s="48"/>
      <c r="M65" s="48"/>
      <c r="N65" s="48"/>
      <c r="O65" s="48"/>
      <c r="P65" s="48"/>
      <c r="Q65" s="48"/>
      <c r="R65" s="48"/>
      <c r="S65" s="48"/>
      <c r="T65" s="48"/>
      <c r="U65" s="48"/>
      <c r="V65" s="48"/>
    </row>
    <row r="66" spans="2:22" s="46" customFormat="1" ht="15" customHeight="1">
      <c r="B66" s="48"/>
      <c r="C66" s="48"/>
      <c r="D66" s="48"/>
      <c r="E66" s="48"/>
      <c r="F66" s="48"/>
      <c r="G66" s="48"/>
      <c r="H66" s="48"/>
      <c r="I66" s="48"/>
      <c r="J66" s="48"/>
      <c r="K66" s="48"/>
      <c r="L66" s="48"/>
      <c r="M66" s="48"/>
      <c r="N66" s="48"/>
      <c r="O66" s="48"/>
      <c r="P66" s="48"/>
      <c r="Q66" s="48"/>
      <c r="R66" s="48"/>
      <c r="S66" s="48"/>
      <c r="T66" s="48"/>
      <c r="U66" s="48"/>
      <c r="V66" s="48"/>
    </row>
    <row r="67" spans="2:22" s="46" customFormat="1" ht="15" customHeight="1">
      <c r="B67" s="48"/>
      <c r="C67" s="48"/>
      <c r="D67" s="48"/>
      <c r="E67" s="48"/>
      <c r="F67" s="48"/>
      <c r="G67" s="48"/>
      <c r="H67" s="48"/>
      <c r="I67" s="48"/>
      <c r="J67" s="48"/>
      <c r="K67" s="48"/>
      <c r="L67" s="48"/>
      <c r="M67" s="48"/>
      <c r="N67" s="48"/>
      <c r="O67" s="48"/>
      <c r="P67" s="48"/>
      <c r="Q67" s="48"/>
      <c r="R67" s="48"/>
      <c r="S67" s="48"/>
      <c r="T67" s="48"/>
      <c r="U67" s="48"/>
      <c r="V67" s="48"/>
    </row>
    <row r="68" spans="2:22" s="46" customFormat="1" ht="15" customHeight="1">
      <c r="B68" s="48"/>
      <c r="C68" s="48"/>
      <c r="D68" s="48"/>
      <c r="E68" s="48"/>
      <c r="F68" s="48"/>
      <c r="G68" s="48"/>
      <c r="H68" s="48"/>
      <c r="I68" s="48"/>
      <c r="J68" s="48"/>
      <c r="K68" s="48"/>
      <c r="L68" s="48"/>
      <c r="M68" s="48"/>
      <c r="N68" s="48"/>
      <c r="O68" s="48"/>
      <c r="P68" s="48"/>
      <c r="Q68" s="48"/>
      <c r="R68" s="48"/>
      <c r="S68" s="48"/>
      <c r="T68" s="48"/>
      <c r="U68" s="48"/>
      <c r="V68" s="48"/>
    </row>
    <row r="69" spans="2:22" s="46" customFormat="1" ht="15" customHeight="1">
      <c r="B69" s="48"/>
      <c r="C69" s="48"/>
      <c r="D69" s="48"/>
      <c r="E69" s="48"/>
      <c r="F69" s="48"/>
      <c r="G69" s="48"/>
      <c r="H69" s="48"/>
      <c r="I69" s="48"/>
      <c r="J69" s="48"/>
      <c r="K69" s="48"/>
      <c r="L69" s="48"/>
      <c r="M69" s="48"/>
      <c r="N69" s="48"/>
      <c r="O69" s="48"/>
      <c r="P69" s="48"/>
      <c r="Q69" s="48"/>
      <c r="R69" s="48"/>
      <c r="S69" s="48"/>
      <c r="T69" s="48"/>
      <c r="U69" s="48"/>
      <c r="V69" s="48"/>
    </row>
    <row r="70" spans="2:22" s="46" customFormat="1" ht="15" customHeight="1">
      <c r="B70" s="48"/>
      <c r="C70" s="48"/>
      <c r="D70" s="48"/>
      <c r="E70" s="48"/>
      <c r="F70" s="48"/>
      <c r="G70" s="48"/>
      <c r="H70" s="48"/>
      <c r="I70" s="48"/>
      <c r="J70" s="48"/>
      <c r="K70" s="48"/>
      <c r="L70" s="48"/>
      <c r="M70" s="48"/>
      <c r="N70" s="48"/>
      <c r="O70" s="48"/>
      <c r="P70" s="48"/>
      <c r="Q70" s="48"/>
      <c r="R70" s="48"/>
      <c r="S70" s="48"/>
      <c r="T70" s="48"/>
      <c r="U70" s="48"/>
      <c r="V70" s="48"/>
    </row>
    <row r="71" spans="2:22" s="46" customFormat="1" ht="15" customHeight="1">
      <c r="B71" s="48"/>
      <c r="C71" s="48"/>
      <c r="D71" s="48"/>
      <c r="E71" s="48"/>
      <c r="F71" s="48"/>
      <c r="G71" s="48"/>
      <c r="H71" s="48"/>
      <c r="I71" s="48"/>
      <c r="J71" s="48"/>
      <c r="K71" s="48"/>
      <c r="L71" s="48"/>
      <c r="M71" s="48"/>
      <c r="N71" s="48"/>
      <c r="O71" s="48"/>
      <c r="P71" s="48"/>
      <c r="Q71" s="48"/>
      <c r="R71" s="48"/>
      <c r="S71" s="48"/>
      <c r="T71" s="48"/>
      <c r="U71" s="48"/>
      <c r="V71" s="48"/>
    </row>
    <row r="72" spans="2:22" s="46" customFormat="1" ht="15" customHeight="1">
      <c r="B72" s="48"/>
      <c r="C72" s="48"/>
      <c r="D72" s="48"/>
      <c r="E72" s="48"/>
      <c r="F72" s="48"/>
      <c r="G72" s="48"/>
      <c r="H72" s="48"/>
      <c r="I72" s="48"/>
      <c r="J72" s="48"/>
      <c r="K72" s="48"/>
      <c r="L72" s="48"/>
      <c r="M72" s="48"/>
      <c r="N72" s="48"/>
      <c r="O72" s="48"/>
      <c r="P72" s="48"/>
      <c r="Q72" s="48"/>
      <c r="R72" s="48"/>
      <c r="S72" s="48"/>
      <c r="T72" s="48"/>
      <c r="U72" s="48"/>
      <c r="V72" s="48"/>
    </row>
    <row r="73" spans="2:22" s="46" customFormat="1" ht="15" customHeight="1">
      <c r="B73" s="48"/>
      <c r="C73" s="48"/>
      <c r="D73" s="48"/>
      <c r="E73" s="48"/>
      <c r="F73" s="48"/>
      <c r="G73" s="48"/>
      <c r="H73" s="48"/>
      <c r="I73" s="48"/>
      <c r="J73" s="48"/>
      <c r="K73" s="48"/>
      <c r="L73" s="48"/>
      <c r="M73" s="48"/>
      <c r="N73" s="48"/>
      <c r="O73" s="48"/>
      <c r="P73" s="48"/>
      <c r="Q73" s="48"/>
      <c r="R73" s="48"/>
      <c r="S73" s="48"/>
      <c r="T73" s="48"/>
      <c r="U73" s="48"/>
      <c r="V73" s="48"/>
    </row>
    <row r="74" spans="2:22" s="46" customFormat="1" ht="15" customHeight="1">
      <c r="B74" s="48"/>
      <c r="C74" s="48"/>
      <c r="D74" s="48"/>
      <c r="E74" s="48"/>
      <c r="F74" s="48"/>
      <c r="G74" s="48"/>
      <c r="H74" s="48"/>
      <c r="I74" s="48"/>
      <c r="J74" s="48"/>
      <c r="K74" s="48"/>
      <c r="L74" s="48"/>
      <c r="M74" s="48"/>
      <c r="N74" s="48"/>
      <c r="O74" s="48"/>
      <c r="P74" s="48"/>
      <c r="Q74" s="48"/>
      <c r="R74" s="48"/>
      <c r="S74" s="48"/>
      <c r="T74" s="48"/>
      <c r="U74" s="48"/>
      <c r="V74" s="48"/>
    </row>
    <row r="75" spans="2:22" s="46" customFormat="1" ht="15" customHeight="1">
      <c r="B75" s="48"/>
      <c r="C75" s="48"/>
      <c r="D75" s="48"/>
      <c r="E75" s="48"/>
      <c r="F75" s="48"/>
      <c r="G75" s="48"/>
      <c r="H75" s="48"/>
      <c r="I75" s="48"/>
      <c r="J75" s="48"/>
      <c r="K75" s="48"/>
      <c r="L75" s="48"/>
      <c r="M75" s="48"/>
      <c r="N75" s="48"/>
      <c r="O75" s="48"/>
      <c r="P75" s="48"/>
      <c r="Q75" s="48"/>
      <c r="R75" s="48"/>
      <c r="S75" s="48"/>
      <c r="T75" s="48"/>
      <c r="U75" s="48"/>
      <c r="V75" s="48"/>
    </row>
    <row r="76" spans="2:22" s="46" customFormat="1" ht="15" customHeight="1">
      <c r="B76" s="48"/>
      <c r="C76" s="48"/>
      <c r="D76" s="48"/>
      <c r="E76" s="48"/>
      <c r="F76" s="48"/>
      <c r="G76" s="48"/>
      <c r="H76" s="48"/>
      <c r="I76" s="48"/>
      <c r="J76" s="48"/>
      <c r="K76" s="48"/>
      <c r="L76" s="48"/>
      <c r="M76" s="48"/>
      <c r="N76" s="48"/>
      <c r="O76" s="48"/>
      <c r="P76" s="48"/>
      <c r="Q76" s="48"/>
      <c r="R76" s="48"/>
      <c r="S76" s="48"/>
      <c r="T76" s="48"/>
      <c r="U76" s="48"/>
      <c r="V76" s="48"/>
    </row>
    <row r="77" spans="2:22" s="46" customFormat="1" ht="15" customHeight="1">
      <c r="B77" s="48"/>
      <c r="C77" s="48"/>
      <c r="D77" s="48"/>
      <c r="E77" s="48"/>
      <c r="F77" s="48"/>
      <c r="G77" s="48"/>
      <c r="H77" s="48"/>
      <c r="I77" s="48"/>
      <c r="J77" s="48"/>
      <c r="K77" s="48"/>
      <c r="L77" s="48"/>
      <c r="M77" s="48"/>
      <c r="N77" s="48"/>
      <c r="O77" s="48"/>
      <c r="P77" s="48"/>
      <c r="Q77" s="48"/>
      <c r="R77" s="48"/>
      <c r="S77" s="48"/>
      <c r="T77" s="48"/>
      <c r="U77" s="48"/>
      <c r="V77" s="48"/>
    </row>
    <row r="78" spans="2:22" s="46" customFormat="1" ht="15" customHeight="1">
      <c r="B78" s="48"/>
      <c r="C78" s="48"/>
      <c r="D78" s="48"/>
      <c r="E78" s="48"/>
      <c r="F78" s="48"/>
      <c r="G78" s="48"/>
      <c r="H78" s="48"/>
      <c r="I78" s="48"/>
      <c r="J78" s="48"/>
      <c r="K78" s="48"/>
      <c r="L78" s="48"/>
      <c r="M78" s="48"/>
      <c r="N78" s="48"/>
      <c r="O78" s="48"/>
      <c r="P78" s="48"/>
      <c r="Q78" s="48"/>
      <c r="R78" s="48"/>
      <c r="S78" s="48"/>
      <c r="T78" s="48"/>
      <c r="U78" s="48"/>
      <c r="V78" s="48"/>
    </row>
    <row r="79" spans="2:22" s="46" customFormat="1" ht="15" customHeight="1">
      <c r="B79" s="48"/>
      <c r="C79" s="48"/>
      <c r="D79" s="48"/>
      <c r="E79" s="48"/>
      <c r="F79" s="48"/>
      <c r="G79" s="48"/>
      <c r="H79" s="48"/>
      <c r="I79" s="48"/>
      <c r="J79" s="48"/>
      <c r="K79" s="48"/>
      <c r="L79" s="48"/>
      <c r="M79" s="48"/>
      <c r="N79" s="48"/>
      <c r="O79" s="48"/>
      <c r="P79" s="48"/>
      <c r="Q79" s="48"/>
      <c r="R79" s="48"/>
      <c r="S79" s="48"/>
      <c r="T79" s="48"/>
      <c r="U79" s="48"/>
      <c r="V79" s="48"/>
    </row>
    <row r="80" spans="2:22" s="46" customFormat="1" ht="15" customHeight="1">
      <c r="B80" s="48"/>
      <c r="C80" s="48"/>
      <c r="D80" s="48"/>
      <c r="E80" s="48"/>
      <c r="F80" s="48"/>
      <c r="G80" s="48"/>
      <c r="H80" s="48"/>
      <c r="I80" s="48"/>
      <c r="J80" s="48"/>
      <c r="K80" s="48"/>
      <c r="L80" s="48"/>
      <c r="M80" s="48"/>
      <c r="N80" s="48"/>
      <c r="O80" s="48"/>
      <c r="P80" s="48"/>
      <c r="Q80" s="48"/>
      <c r="R80" s="48"/>
      <c r="S80" s="48"/>
      <c r="T80" s="48"/>
      <c r="U80" s="48"/>
      <c r="V80" s="48"/>
    </row>
    <row r="81" spans="2:22" s="46" customFormat="1" ht="15" customHeight="1">
      <c r="B81" s="48"/>
      <c r="C81" s="48"/>
      <c r="D81" s="48"/>
      <c r="E81" s="48"/>
      <c r="F81" s="48"/>
      <c r="G81" s="48"/>
      <c r="H81" s="48"/>
      <c r="I81" s="48"/>
      <c r="J81" s="48"/>
      <c r="K81" s="48"/>
      <c r="L81" s="48"/>
      <c r="M81" s="48"/>
      <c r="N81" s="48"/>
      <c r="O81" s="48"/>
      <c r="P81" s="48"/>
      <c r="Q81" s="48"/>
      <c r="R81" s="48"/>
      <c r="S81" s="48"/>
      <c r="T81" s="48"/>
      <c r="U81" s="48"/>
      <c r="V81" s="48"/>
    </row>
    <row r="82" spans="2:22" s="46" customFormat="1" ht="15" customHeight="1">
      <c r="B82" s="48"/>
      <c r="C82" s="48"/>
      <c r="D82" s="48"/>
      <c r="E82" s="48"/>
      <c r="F82" s="48"/>
      <c r="G82" s="48"/>
      <c r="H82" s="48"/>
      <c r="I82" s="48"/>
      <c r="J82" s="48"/>
      <c r="K82" s="48"/>
      <c r="L82" s="48"/>
      <c r="M82" s="48"/>
      <c r="N82" s="48"/>
      <c r="O82" s="48"/>
      <c r="P82" s="48"/>
      <c r="Q82" s="48"/>
      <c r="R82" s="48"/>
      <c r="S82" s="48"/>
      <c r="T82" s="48"/>
      <c r="U82" s="48"/>
      <c r="V82" s="48"/>
    </row>
    <row r="83" spans="2:22" s="46" customFormat="1" ht="15" customHeight="1">
      <c r="B83" s="48"/>
      <c r="C83" s="48"/>
      <c r="D83" s="48"/>
      <c r="E83" s="48"/>
      <c r="F83" s="48"/>
      <c r="G83" s="48"/>
      <c r="H83" s="48"/>
      <c r="I83" s="48"/>
      <c r="J83" s="48"/>
      <c r="K83" s="48"/>
      <c r="L83" s="48"/>
      <c r="M83" s="48"/>
      <c r="N83" s="48"/>
      <c r="O83" s="48"/>
      <c r="P83" s="48"/>
      <c r="Q83" s="48"/>
      <c r="R83" s="48"/>
      <c r="S83" s="48"/>
      <c r="T83" s="48"/>
      <c r="U83" s="48"/>
      <c r="V83" s="48"/>
    </row>
    <row r="84" spans="2:22" s="46" customFormat="1" ht="15" customHeight="1">
      <c r="B84" s="48"/>
      <c r="C84" s="48"/>
      <c r="D84" s="48"/>
      <c r="E84" s="48"/>
      <c r="F84" s="48"/>
      <c r="G84" s="48"/>
      <c r="H84" s="48"/>
      <c r="I84" s="48"/>
      <c r="J84" s="48"/>
      <c r="K84" s="48"/>
      <c r="L84" s="48"/>
      <c r="M84" s="48"/>
      <c r="N84" s="48"/>
      <c r="O84" s="48"/>
      <c r="P84" s="48"/>
      <c r="Q84" s="48"/>
      <c r="R84" s="48"/>
      <c r="S84" s="48"/>
      <c r="T84" s="48"/>
      <c r="U84" s="48"/>
      <c r="V84" s="48"/>
    </row>
    <row r="85" spans="2:22" s="46" customFormat="1" ht="15" customHeight="1">
      <c r="B85" s="48"/>
      <c r="C85" s="48"/>
      <c r="D85" s="48"/>
      <c r="E85" s="48"/>
      <c r="F85" s="48"/>
      <c r="G85" s="48"/>
      <c r="H85" s="48"/>
      <c r="I85" s="48"/>
      <c r="J85" s="48"/>
      <c r="K85" s="48"/>
      <c r="L85" s="48"/>
      <c r="M85" s="48"/>
      <c r="N85" s="48"/>
      <c r="O85" s="48"/>
      <c r="P85" s="48"/>
      <c r="Q85" s="48"/>
      <c r="R85" s="48"/>
      <c r="S85" s="48"/>
      <c r="T85" s="48"/>
      <c r="U85" s="48"/>
      <c r="V85" s="48"/>
    </row>
    <row r="86" spans="2:22" s="46" customFormat="1" ht="15" customHeight="1">
      <c r="B86" s="48"/>
      <c r="C86" s="48"/>
      <c r="D86" s="48"/>
      <c r="E86" s="48"/>
      <c r="F86" s="48"/>
      <c r="G86" s="48"/>
      <c r="H86" s="48"/>
      <c r="I86" s="48"/>
      <c r="J86" s="48"/>
      <c r="K86" s="48"/>
      <c r="L86" s="48"/>
      <c r="M86" s="48"/>
      <c r="N86" s="48"/>
      <c r="O86" s="48"/>
      <c r="P86" s="48"/>
      <c r="Q86" s="48"/>
      <c r="R86" s="48"/>
      <c r="S86" s="48"/>
      <c r="T86" s="48"/>
      <c r="U86" s="48"/>
      <c r="V86" s="48"/>
    </row>
    <row r="87" spans="2:22" s="46" customFormat="1" ht="15" customHeight="1">
      <c r="B87" s="48"/>
      <c r="C87" s="48"/>
      <c r="D87" s="48"/>
      <c r="E87" s="48"/>
      <c r="F87" s="48"/>
      <c r="G87" s="48"/>
      <c r="H87" s="48"/>
      <c r="I87" s="48"/>
      <c r="J87" s="48"/>
      <c r="K87" s="48"/>
      <c r="L87" s="48"/>
      <c r="M87" s="48"/>
      <c r="N87" s="48"/>
      <c r="O87" s="48"/>
      <c r="P87" s="48"/>
      <c r="Q87" s="48"/>
      <c r="R87" s="48"/>
      <c r="S87" s="48"/>
      <c r="T87" s="48"/>
      <c r="U87" s="48"/>
      <c r="V87" s="48"/>
    </row>
    <row r="88" spans="2:22" s="46" customFormat="1" ht="15" customHeight="1">
      <c r="B88" s="48"/>
      <c r="C88" s="48"/>
      <c r="D88" s="48"/>
      <c r="E88" s="48"/>
      <c r="F88" s="48"/>
      <c r="G88" s="48"/>
      <c r="H88" s="48"/>
      <c r="I88" s="48"/>
      <c r="J88" s="48"/>
      <c r="K88" s="48"/>
      <c r="L88" s="48"/>
      <c r="M88" s="48"/>
      <c r="N88" s="48"/>
      <c r="O88" s="48"/>
      <c r="P88" s="48"/>
      <c r="Q88" s="48"/>
      <c r="R88" s="48"/>
      <c r="S88" s="48"/>
      <c r="T88" s="48"/>
      <c r="U88" s="48"/>
      <c r="V88" s="48"/>
    </row>
    <row r="89" spans="2:22" s="46" customFormat="1" ht="15" customHeight="1">
      <c r="B89" s="48"/>
      <c r="C89" s="48"/>
      <c r="D89" s="48"/>
      <c r="E89" s="48"/>
      <c r="F89" s="48"/>
      <c r="G89" s="48"/>
      <c r="H89" s="48"/>
      <c r="I89" s="48"/>
      <c r="J89" s="48"/>
      <c r="K89" s="48"/>
      <c r="L89" s="48"/>
      <c r="M89" s="48"/>
      <c r="N89" s="48"/>
      <c r="O89" s="48"/>
      <c r="P89" s="48"/>
      <c r="Q89" s="48"/>
      <c r="R89" s="48"/>
      <c r="S89" s="48"/>
      <c r="T89" s="48"/>
      <c r="U89" s="48"/>
      <c r="V89" s="48"/>
    </row>
    <row r="90" spans="2:22" s="46" customFormat="1" ht="15" customHeight="1">
      <c r="B90" s="48"/>
      <c r="C90" s="48"/>
      <c r="D90" s="48"/>
      <c r="E90" s="48"/>
      <c r="F90" s="48"/>
      <c r="G90" s="48"/>
      <c r="H90" s="48"/>
      <c r="I90" s="48"/>
      <c r="J90" s="48"/>
      <c r="K90" s="48"/>
      <c r="L90" s="48"/>
      <c r="M90" s="48"/>
      <c r="N90" s="48"/>
      <c r="O90" s="48"/>
      <c r="P90" s="48"/>
      <c r="Q90" s="48"/>
      <c r="R90" s="48"/>
      <c r="S90" s="48"/>
      <c r="T90" s="48"/>
      <c r="U90" s="48"/>
      <c r="V90" s="48"/>
    </row>
    <row r="91" spans="2:22" s="46" customFormat="1" ht="15" customHeight="1">
      <c r="B91" s="48"/>
      <c r="C91" s="48"/>
      <c r="D91" s="48"/>
      <c r="E91" s="48"/>
      <c r="F91" s="48"/>
      <c r="G91" s="48"/>
      <c r="H91" s="48"/>
      <c r="I91" s="48"/>
      <c r="J91" s="48"/>
      <c r="K91" s="48"/>
      <c r="L91" s="48"/>
      <c r="M91" s="48"/>
      <c r="N91" s="48"/>
      <c r="O91" s="48"/>
      <c r="P91" s="48"/>
      <c r="Q91" s="48"/>
      <c r="R91" s="48"/>
      <c r="S91" s="48"/>
      <c r="T91" s="48"/>
      <c r="U91" s="48"/>
      <c r="V91" s="48"/>
    </row>
    <row r="92" spans="2:22" s="46" customFormat="1" ht="15" customHeight="1">
      <c r="B92" s="48"/>
      <c r="C92" s="48"/>
      <c r="D92" s="48"/>
      <c r="E92" s="48"/>
      <c r="F92" s="48"/>
      <c r="G92" s="48"/>
      <c r="H92" s="48"/>
      <c r="I92" s="48"/>
      <c r="J92" s="48"/>
      <c r="K92" s="48"/>
      <c r="L92" s="48"/>
      <c r="M92" s="48"/>
      <c r="N92" s="48"/>
      <c r="O92" s="48"/>
      <c r="P92" s="48"/>
      <c r="Q92" s="48"/>
      <c r="R92" s="48"/>
      <c r="S92" s="48"/>
      <c r="T92" s="48"/>
      <c r="U92" s="48"/>
      <c r="V92" s="48"/>
    </row>
    <row r="93" spans="2:22" s="46" customFormat="1" ht="15" customHeight="1">
      <c r="B93" s="48"/>
      <c r="C93" s="48"/>
      <c r="D93" s="48"/>
      <c r="E93" s="48"/>
      <c r="F93" s="48"/>
      <c r="G93" s="48"/>
      <c r="H93" s="48"/>
      <c r="I93" s="48"/>
      <c r="J93" s="48"/>
      <c r="K93" s="48"/>
      <c r="L93" s="48"/>
      <c r="M93" s="48"/>
      <c r="N93" s="48"/>
      <c r="O93" s="48"/>
      <c r="P93" s="48"/>
      <c r="Q93" s="48"/>
      <c r="R93" s="48"/>
      <c r="S93" s="48"/>
      <c r="T93" s="48"/>
      <c r="U93" s="48"/>
      <c r="V93" s="48"/>
    </row>
    <row r="94" spans="2:22" s="46" customFormat="1" ht="15" customHeight="1">
      <c r="B94" s="48"/>
      <c r="C94" s="48"/>
      <c r="D94" s="48"/>
      <c r="E94" s="48"/>
      <c r="F94" s="48"/>
      <c r="G94" s="48"/>
      <c r="H94" s="48"/>
      <c r="I94" s="48"/>
      <c r="J94" s="48"/>
      <c r="K94" s="48"/>
      <c r="L94" s="48"/>
      <c r="M94" s="48"/>
      <c r="N94" s="48"/>
      <c r="O94" s="48"/>
      <c r="P94" s="48"/>
      <c r="Q94" s="48"/>
      <c r="R94" s="48"/>
      <c r="S94" s="48"/>
      <c r="T94" s="48"/>
      <c r="U94" s="48"/>
      <c r="V94" s="48"/>
    </row>
    <row r="95" spans="2:22" s="46" customFormat="1" ht="15" customHeight="1">
      <c r="B95" s="48"/>
      <c r="C95" s="48"/>
      <c r="D95" s="48"/>
      <c r="E95" s="48"/>
      <c r="F95" s="48"/>
      <c r="G95" s="48"/>
      <c r="H95" s="48"/>
      <c r="I95" s="48"/>
      <c r="J95" s="48"/>
      <c r="K95" s="48"/>
      <c r="L95" s="48"/>
      <c r="M95" s="48"/>
      <c r="N95" s="48"/>
      <c r="O95" s="48"/>
      <c r="P95" s="48"/>
      <c r="Q95" s="48"/>
      <c r="R95" s="48"/>
      <c r="S95" s="48"/>
      <c r="T95" s="48"/>
      <c r="U95" s="48"/>
      <c r="V95" s="48"/>
    </row>
    <row r="96" spans="2:22" s="46" customFormat="1" ht="15" customHeight="1">
      <c r="B96" s="48"/>
      <c r="C96" s="48"/>
      <c r="D96" s="48"/>
      <c r="E96" s="48"/>
      <c r="F96" s="48"/>
      <c r="G96" s="48"/>
      <c r="H96" s="48"/>
      <c r="I96" s="48"/>
      <c r="J96" s="48"/>
      <c r="K96" s="48"/>
      <c r="L96" s="48"/>
      <c r="M96" s="48"/>
      <c r="N96" s="48"/>
      <c r="O96" s="48"/>
      <c r="P96" s="48"/>
      <c r="Q96" s="48"/>
      <c r="R96" s="48"/>
      <c r="S96" s="48"/>
      <c r="T96" s="48"/>
      <c r="U96" s="48"/>
      <c r="V96" s="48"/>
    </row>
    <row r="97" spans="2:22" s="46" customFormat="1" ht="15" customHeight="1">
      <c r="B97" s="48"/>
      <c r="C97" s="48"/>
      <c r="D97" s="48"/>
      <c r="E97" s="48"/>
      <c r="F97" s="48"/>
      <c r="G97" s="48"/>
      <c r="H97" s="48"/>
      <c r="I97" s="48"/>
      <c r="J97" s="48"/>
      <c r="K97" s="48"/>
      <c r="L97" s="48"/>
      <c r="M97" s="48"/>
      <c r="N97" s="48"/>
      <c r="O97" s="48"/>
      <c r="P97" s="48"/>
      <c r="Q97" s="48"/>
      <c r="R97" s="48"/>
      <c r="S97" s="48"/>
      <c r="T97" s="48"/>
      <c r="U97" s="48"/>
      <c r="V97" s="48"/>
    </row>
    <row r="98" spans="2:22" s="46" customFormat="1" ht="15" customHeight="1">
      <c r="B98" s="48"/>
      <c r="C98" s="48"/>
      <c r="D98" s="48"/>
      <c r="E98" s="48"/>
      <c r="F98" s="48"/>
      <c r="G98" s="48"/>
      <c r="H98" s="48"/>
      <c r="I98" s="48"/>
      <c r="J98" s="48"/>
      <c r="K98" s="48"/>
      <c r="L98" s="48"/>
      <c r="M98" s="48"/>
      <c r="N98" s="48"/>
      <c r="O98" s="48"/>
      <c r="P98" s="48"/>
      <c r="Q98" s="48"/>
      <c r="R98" s="48"/>
      <c r="S98" s="48"/>
      <c r="T98" s="48"/>
      <c r="U98" s="48"/>
      <c r="V98" s="48"/>
    </row>
    <row r="99" spans="2:22" s="46" customFormat="1" ht="15" customHeight="1">
      <c r="B99" s="48"/>
      <c r="C99" s="48"/>
      <c r="D99" s="48"/>
      <c r="E99" s="48"/>
      <c r="F99" s="48"/>
      <c r="G99" s="48"/>
      <c r="H99" s="48"/>
      <c r="I99" s="48"/>
      <c r="J99" s="48"/>
      <c r="K99" s="48"/>
      <c r="L99" s="48"/>
      <c r="M99" s="48"/>
      <c r="N99" s="48"/>
      <c r="O99" s="48"/>
      <c r="P99" s="48"/>
      <c r="Q99" s="48"/>
      <c r="R99" s="48"/>
      <c r="S99" s="48"/>
      <c r="T99" s="48"/>
      <c r="U99" s="48"/>
      <c r="V99" s="48"/>
    </row>
    <row r="100" spans="2:22" s="46" customFormat="1" ht="15" customHeight="1">
      <c r="B100" s="48"/>
      <c r="C100" s="48"/>
      <c r="D100" s="48"/>
      <c r="E100" s="48"/>
      <c r="F100" s="48"/>
      <c r="G100" s="48"/>
      <c r="H100" s="48"/>
      <c r="I100" s="48"/>
      <c r="J100" s="48"/>
      <c r="K100" s="48"/>
      <c r="L100" s="48"/>
      <c r="M100" s="48"/>
      <c r="N100" s="48"/>
      <c r="O100" s="48"/>
      <c r="P100" s="48"/>
      <c r="Q100" s="48"/>
      <c r="R100" s="48"/>
      <c r="S100" s="48"/>
      <c r="T100" s="48"/>
      <c r="U100" s="48"/>
      <c r="V100" s="48"/>
    </row>
    <row r="101" spans="2:22" s="46" customFormat="1" ht="15" customHeight="1">
      <c r="B101" s="48"/>
      <c r="C101" s="48"/>
      <c r="D101" s="48"/>
      <c r="E101" s="48"/>
      <c r="F101" s="48"/>
      <c r="G101" s="48"/>
      <c r="H101" s="48"/>
      <c r="I101" s="48"/>
      <c r="J101" s="48"/>
      <c r="K101" s="48"/>
      <c r="L101" s="48"/>
      <c r="M101" s="48"/>
      <c r="N101" s="48"/>
      <c r="O101" s="48"/>
      <c r="P101" s="48"/>
      <c r="Q101" s="48"/>
      <c r="R101" s="48"/>
      <c r="S101" s="48"/>
      <c r="T101" s="48"/>
      <c r="U101" s="48"/>
      <c r="V101" s="48"/>
    </row>
    <row r="102" spans="2:22" s="46" customFormat="1" ht="15" customHeight="1">
      <c r="B102" s="48"/>
      <c r="C102" s="48"/>
      <c r="D102" s="48"/>
      <c r="E102" s="48"/>
      <c r="F102" s="48"/>
      <c r="G102" s="48"/>
      <c r="H102" s="48"/>
      <c r="I102" s="48"/>
      <c r="J102" s="48"/>
      <c r="K102" s="48"/>
      <c r="L102" s="48"/>
      <c r="M102" s="48"/>
      <c r="N102" s="48"/>
      <c r="O102" s="48"/>
      <c r="P102" s="48"/>
      <c r="Q102" s="48"/>
      <c r="R102" s="48"/>
      <c r="S102" s="48"/>
      <c r="T102" s="48"/>
      <c r="U102" s="48"/>
      <c r="V102" s="48"/>
    </row>
    <row r="103" spans="2:22" s="46" customFormat="1" ht="15" customHeight="1">
      <c r="B103" s="48"/>
      <c r="C103" s="48"/>
      <c r="D103" s="48"/>
      <c r="E103" s="48"/>
      <c r="F103" s="48"/>
      <c r="G103" s="48"/>
      <c r="H103" s="48"/>
      <c r="I103" s="48"/>
      <c r="J103" s="48"/>
      <c r="K103" s="48"/>
      <c r="L103" s="48"/>
      <c r="M103" s="48"/>
      <c r="N103" s="48"/>
      <c r="O103" s="48"/>
      <c r="P103" s="48"/>
      <c r="Q103" s="48"/>
      <c r="R103" s="48"/>
      <c r="S103" s="48"/>
      <c r="T103" s="48"/>
      <c r="U103" s="48"/>
      <c r="V103" s="48"/>
    </row>
    <row r="104" spans="2:22" s="46" customFormat="1" ht="15" customHeight="1">
      <c r="B104" s="48"/>
      <c r="C104" s="48"/>
      <c r="D104" s="48"/>
      <c r="E104" s="48"/>
      <c r="F104" s="48"/>
      <c r="G104" s="48"/>
      <c r="H104" s="48"/>
      <c r="I104" s="48"/>
      <c r="J104" s="48"/>
      <c r="K104" s="48"/>
      <c r="L104" s="48"/>
      <c r="M104" s="48"/>
      <c r="N104" s="48"/>
      <c r="O104" s="48"/>
      <c r="P104" s="48"/>
      <c r="Q104" s="48"/>
      <c r="R104" s="48"/>
      <c r="S104" s="48"/>
      <c r="T104" s="48"/>
      <c r="U104" s="48"/>
      <c r="V104" s="48"/>
    </row>
    <row r="105" spans="2:22" s="46" customFormat="1" ht="15" customHeight="1">
      <c r="B105" s="48"/>
      <c r="C105" s="48"/>
      <c r="D105" s="48"/>
      <c r="E105" s="48"/>
      <c r="F105" s="48"/>
      <c r="G105" s="48"/>
      <c r="H105" s="48"/>
      <c r="I105" s="48"/>
      <c r="J105" s="48"/>
      <c r="K105" s="48"/>
      <c r="L105" s="48"/>
      <c r="M105" s="48"/>
      <c r="N105" s="48"/>
      <c r="O105" s="48"/>
      <c r="P105" s="48"/>
      <c r="Q105" s="48"/>
      <c r="R105" s="48"/>
      <c r="S105" s="48"/>
      <c r="T105" s="48"/>
      <c r="U105" s="48"/>
      <c r="V105" s="48"/>
    </row>
    <row r="106" spans="2:22" s="46" customFormat="1" ht="15" customHeight="1">
      <c r="B106" s="48"/>
      <c r="C106" s="48"/>
      <c r="D106" s="48"/>
      <c r="E106" s="48"/>
      <c r="F106" s="48"/>
      <c r="G106" s="48"/>
      <c r="H106" s="48"/>
      <c r="I106" s="48"/>
      <c r="J106" s="48"/>
      <c r="K106" s="48"/>
      <c r="L106" s="48"/>
      <c r="M106" s="48"/>
      <c r="N106" s="48"/>
      <c r="O106" s="48"/>
      <c r="P106" s="48"/>
      <c r="Q106" s="48"/>
      <c r="R106" s="48"/>
      <c r="S106" s="48"/>
      <c r="T106" s="48"/>
      <c r="U106" s="48"/>
      <c r="V106" s="48"/>
    </row>
    <row r="107" spans="2:22" s="46" customFormat="1" ht="15" customHeight="1">
      <c r="B107" s="48"/>
      <c r="C107" s="48"/>
      <c r="D107" s="48"/>
      <c r="E107" s="48"/>
      <c r="F107" s="48"/>
      <c r="G107" s="48"/>
      <c r="H107" s="48"/>
      <c r="I107" s="48"/>
      <c r="J107" s="48"/>
      <c r="K107" s="48"/>
      <c r="L107" s="48"/>
      <c r="M107" s="48"/>
      <c r="N107" s="48"/>
      <c r="O107" s="48"/>
      <c r="P107" s="48"/>
      <c r="Q107" s="48"/>
      <c r="R107" s="48"/>
      <c r="S107" s="48"/>
      <c r="T107" s="48"/>
      <c r="U107" s="48"/>
      <c r="V107" s="48"/>
    </row>
    <row r="108" spans="2:22" s="46" customFormat="1" ht="15" customHeight="1">
      <c r="B108" s="48"/>
      <c r="C108" s="48"/>
      <c r="D108" s="48"/>
      <c r="E108" s="48"/>
      <c r="F108" s="48"/>
      <c r="G108" s="48"/>
      <c r="H108" s="48"/>
      <c r="I108" s="48"/>
      <c r="J108" s="48"/>
      <c r="K108" s="48"/>
      <c r="L108" s="48"/>
      <c r="M108" s="48"/>
      <c r="N108" s="48"/>
      <c r="O108" s="48"/>
      <c r="P108" s="48"/>
      <c r="Q108" s="48"/>
      <c r="R108" s="48"/>
      <c r="S108" s="48"/>
      <c r="T108" s="48"/>
      <c r="U108" s="48"/>
      <c r="V108" s="48"/>
    </row>
    <row r="109" spans="2:22" s="46" customFormat="1" ht="15" customHeight="1">
      <c r="B109" s="48"/>
      <c r="C109" s="48"/>
      <c r="D109" s="48"/>
      <c r="E109" s="48"/>
      <c r="F109" s="48"/>
      <c r="G109" s="48"/>
      <c r="H109" s="48"/>
      <c r="I109" s="48"/>
      <c r="J109" s="48"/>
      <c r="K109" s="48"/>
      <c r="L109" s="48"/>
      <c r="M109" s="48"/>
      <c r="N109" s="48"/>
      <c r="O109" s="48"/>
      <c r="P109" s="48"/>
      <c r="Q109" s="48"/>
      <c r="R109" s="48"/>
      <c r="S109" s="48"/>
      <c r="T109" s="48"/>
      <c r="U109" s="48"/>
      <c r="V109" s="48"/>
    </row>
    <row r="110" spans="2:22" s="46" customFormat="1" ht="15" customHeight="1">
      <c r="B110" s="48"/>
      <c r="C110" s="48"/>
      <c r="D110" s="48"/>
      <c r="E110" s="48"/>
      <c r="F110" s="48"/>
      <c r="G110" s="48"/>
      <c r="H110" s="48"/>
      <c r="I110" s="48"/>
      <c r="J110" s="48"/>
      <c r="K110" s="48"/>
      <c r="L110" s="48"/>
      <c r="M110" s="48"/>
      <c r="N110" s="48"/>
      <c r="O110" s="48"/>
      <c r="P110" s="48"/>
      <c r="Q110" s="48"/>
      <c r="R110" s="48"/>
      <c r="S110" s="48"/>
      <c r="T110" s="48"/>
      <c r="U110" s="48"/>
      <c r="V110" s="48"/>
    </row>
    <row r="111" spans="2:22" s="46" customFormat="1" ht="15" customHeight="1">
      <c r="B111" s="48"/>
      <c r="C111" s="48"/>
      <c r="D111" s="48"/>
      <c r="E111" s="48"/>
      <c r="F111" s="48"/>
      <c r="G111" s="48"/>
      <c r="H111" s="48"/>
      <c r="I111" s="48"/>
      <c r="J111" s="48"/>
      <c r="K111" s="48"/>
      <c r="L111" s="48"/>
      <c r="M111" s="48"/>
      <c r="N111" s="48"/>
      <c r="O111" s="48"/>
      <c r="P111" s="48"/>
      <c r="Q111" s="48"/>
      <c r="R111" s="48"/>
      <c r="S111" s="48"/>
      <c r="T111" s="48"/>
      <c r="U111" s="48"/>
      <c r="V111" s="48"/>
    </row>
    <row r="112" spans="2:22" s="46" customFormat="1" ht="15" customHeight="1">
      <c r="B112" s="48"/>
      <c r="C112" s="48"/>
      <c r="D112" s="48"/>
      <c r="E112" s="48"/>
      <c r="F112" s="48"/>
      <c r="G112" s="48"/>
      <c r="H112" s="48"/>
      <c r="I112" s="48"/>
      <c r="J112" s="48"/>
      <c r="K112" s="48"/>
      <c r="L112" s="48"/>
      <c r="M112" s="48"/>
      <c r="N112" s="48"/>
      <c r="O112" s="48"/>
      <c r="P112" s="48"/>
      <c r="Q112" s="48"/>
      <c r="R112" s="48"/>
      <c r="S112" s="48"/>
      <c r="T112" s="48"/>
      <c r="U112" s="48"/>
      <c r="V112" s="48"/>
    </row>
    <row r="113" spans="2:22" s="46" customFormat="1" ht="15" customHeight="1">
      <c r="B113" s="48"/>
      <c r="C113" s="48"/>
      <c r="D113" s="48"/>
      <c r="E113" s="48"/>
      <c r="F113" s="48"/>
      <c r="G113" s="48"/>
      <c r="H113" s="48"/>
      <c r="I113" s="48"/>
      <c r="J113" s="48"/>
      <c r="K113" s="48"/>
      <c r="L113" s="48"/>
      <c r="M113" s="48"/>
      <c r="N113" s="48"/>
      <c r="O113" s="48"/>
      <c r="P113" s="48"/>
      <c r="Q113" s="48"/>
      <c r="R113" s="48"/>
      <c r="S113" s="48"/>
      <c r="T113" s="48"/>
      <c r="U113" s="48"/>
      <c r="V113" s="48"/>
    </row>
    <row r="114" spans="2:22" s="46" customFormat="1" ht="15" customHeight="1">
      <c r="B114" s="48"/>
      <c r="C114" s="48"/>
      <c r="D114" s="48"/>
      <c r="E114" s="48"/>
      <c r="F114" s="48"/>
      <c r="G114" s="48"/>
      <c r="H114" s="48"/>
      <c r="I114" s="48"/>
      <c r="J114" s="48"/>
      <c r="K114" s="48"/>
      <c r="L114" s="48"/>
      <c r="M114" s="48"/>
      <c r="N114" s="48"/>
      <c r="O114" s="48"/>
      <c r="P114" s="48"/>
      <c r="Q114" s="48"/>
      <c r="R114" s="48"/>
      <c r="S114" s="48"/>
      <c r="T114" s="48"/>
      <c r="U114" s="48"/>
      <c r="V114" s="48"/>
    </row>
    <row r="115" spans="2:22" s="46" customFormat="1" ht="15" customHeight="1">
      <c r="B115" s="48"/>
      <c r="C115" s="48"/>
      <c r="D115" s="48"/>
      <c r="E115" s="48"/>
      <c r="F115" s="48"/>
      <c r="G115" s="48"/>
      <c r="H115" s="48"/>
      <c r="I115" s="48"/>
      <c r="J115" s="48"/>
      <c r="K115" s="48"/>
      <c r="L115" s="48"/>
      <c r="M115" s="48"/>
      <c r="N115" s="48"/>
      <c r="O115" s="48"/>
      <c r="P115" s="48"/>
      <c r="Q115" s="48"/>
      <c r="R115" s="48"/>
      <c r="S115" s="48"/>
      <c r="T115" s="48"/>
      <c r="U115" s="48"/>
      <c r="V115" s="48"/>
    </row>
    <row r="116" spans="2:22" s="46" customFormat="1" ht="15" customHeight="1">
      <c r="B116" s="48"/>
      <c r="C116" s="48"/>
      <c r="D116" s="48"/>
      <c r="E116" s="48"/>
      <c r="F116" s="48"/>
      <c r="G116" s="48"/>
      <c r="H116" s="48"/>
      <c r="I116" s="48"/>
      <c r="J116" s="48"/>
      <c r="K116" s="48"/>
      <c r="L116" s="48"/>
      <c r="M116" s="48"/>
      <c r="N116" s="48"/>
      <c r="O116" s="48"/>
      <c r="P116" s="48"/>
      <c r="Q116" s="48"/>
      <c r="R116" s="48"/>
      <c r="S116" s="48"/>
      <c r="T116" s="48"/>
      <c r="U116" s="48"/>
      <c r="V116" s="48"/>
    </row>
    <row r="117" spans="2:22" s="46" customFormat="1" ht="15" customHeight="1">
      <c r="B117" s="48"/>
      <c r="C117" s="48"/>
      <c r="D117" s="48"/>
      <c r="E117" s="48"/>
      <c r="F117" s="48"/>
      <c r="G117" s="48"/>
      <c r="H117" s="48"/>
      <c r="I117" s="48"/>
      <c r="J117" s="48"/>
      <c r="K117" s="48"/>
      <c r="L117" s="48"/>
      <c r="M117" s="48"/>
      <c r="N117" s="48"/>
      <c r="O117" s="48"/>
      <c r="P117" s="48"/>
      <c r="Q117" s="48"/>
      <c r="R117" s="48"/>
      <c r="S117" s="48"/>
      <c r="T117" s="48"/>
      <c r="U117" s="48"/>
      <c r="V117" s="48"/>
    </row>
    <row r="118" spans="2:22" s="46" customFormat="1" ht="15" customHeight="1">
      <c r="B118" s="48"/>
      <c r="C118" s="48"/>
      <c r="D118" s="48"/>
      <c r="E118" s="48"/>
      <c r="F118" s="48"/>
      <c r="G118" s="48"/>
      <c r="H118" s="48"/>
      <c r="I118" s="48"/>
      <c r="J118" s="48"/>
      <c r="K118" s="48"/>
      <c r="L118" s="48"/>
      <c r="M118" s="48"/>
      <c r="N118" s="48"/>
      <c r="O118" s="48"/>
      <c r="P118" s="48"/>
      <c r="Q118" s="48"/>
      <c r="R118" s="48"/>
      <c r="S118" s="48"/>
      <c r="T118" s="48"/>
      <c r="U118" s="48"/>
      <c r="V118" s="48"/>
    </row>
    <row r="119" spans="2:22" s="46" customFormat="1" ht="15" customHeight="1">
      <c r="B119" s="48"/>
      <c r="C119" s="48"/>
      <c r="D119" s="48"/>
      <c r="E119" s="48"/>
      <c r="F119" s="48"/>
      <c r="G119" s="48"/>
      <c r="H119" s="48"/>
      <c r="I119" s="48"/>
      <c r="J119" s="48"/>
      <c r="K119" s="48"/>
      <c r="L119" s="48"/>
      <c r="M119" s="48"/>
      <c r="N119" s="48"/>
      <c r="O119" s="48"/>
      <c r="P119" s="48"/>
      <c r="Q119" s="48"/>
      <c r="R119" s="48"/>
      <c r="S119" s="48"/>
      <c r="T119" s="48"/>
      <c r="U119" s="48"/>
      <c r="V119" s="48"/>
    </row>
    <row r="120" spans="2:22" s="46" customFormat="1" ht="15" customHeight="1">
      <c r="B120" s="48"/>
      <c r="C120" s="48"/>
      <c r="D120" s="48"/>
      <c r="E120" s="48"/>
      <c r="F120" s="48"/>
      <c r="G120" s="48"/>
      <c r="H120" s="48"/>
      <c r="I120" s="48"/>
      <c r="J120" s="48"/>
      <c r="K120" s="48"/>
      <c r="L120" s="48"/>
      <c r="M120" s="48"/>
      <c r="N120" s="48"/>
      <c r="O120" s="48"/>
      <c r="P120" s="48"/>
      <c r="Q120" s="48"/>
      <c r="R120" s="48"/>
      <c r="S120" s="48"/>
      <c r="T120" s="48"/>
      <c r="U120" s="48"/>
      <c r="V120" s="48"/>
    </row>
    <row r="121" spans="2:22" s="46" customFormat="1" ht="15" customHeight="1">
      <c r="B121" s="48"/>
      <c r="C121" s="48"/>
      <c r="D121" s="48"/>
      <c r="E121" s="48"/>
      <c r="F121" s="48"/>
      <c r="G121" s="48"/>
      <c r="H121" s="48"/>
      <c r="I121" s="48"/>
      <c r="J121" s="48"/>
      <c r="K121" s="48"/>
      <c r="L121" s="48"/>
      <c r="M121" s="48"/>
      <c r="N121" s="48"/>
      <c r="O121" s="48"/>
      <c r="P121" s="48"/>
      <c r="Q121" s="48"/>
      <c r="R121" s="48"/>
      <c r="S121" s="48"/>
      <c r="T121" s="48"/>
      <c r="U121" s="48"/>
      <c r="V121" s="48"/>
    </row>
    <row r="122" spans="2:22" s="46" customFormat="1" ht="15" customHeight="1">
      <c r="B122" s="48"/>
      <c r="C122" s="48"/>
      <c r="D122" s="48"/>
      <c r="E122" s="48"/>
      <c r="F122" s="48"/>
      <c r="G122" s="48"/>
      <c r="H122" s="48"/>
      <c r="I122" s="48"/>
      <c r="J122" s="48"/>
      <c r="K122" s="48"/>
      <c r="L122" s="48"/>
      <c r="M122" s="48"/>
      <c r="N122" s="48"/>
      <c r="O122" s="48"/>
      <c r="P122" s="48"/>
      <c r="Q122" s="48"/>
      <c r="R122" s="48"/>
      <c r="S122" s="48"/>
      <c r="T122" s="48"/>
      <c r="U122" s="48"/>
      <c r="V122" s="48"/>
    </row>
    <row r="123" spans="2:22" s="46" customFormat="1" ht="15" customHeight="1">
      <c r="B123" s="48"/>
      <c r="C123" s="48"/>
      <c r="D123" s="48"/>
      <c r="E123" s="48"/>
      <c r="F123" s="48"/>
      <c r="G123" s="48"/>
      <c r="H123" s="48"/>
      <c r="I123" s="48"/>
      <c r="J123" s="48"/>
      <c r="K123" s="48"/>
      <c r="L123" s="48"/>
      <c r="M123" s="48"/>
      <c r="N123" s="48"/>
      <c r="O123" s="48"/>
      <c r="P123" s="48"/>
      <c r="Q123" s="48"/>
      <c r="R123" s="48"/>
      <c r="S123" s="48"/>
      <c r="T123" s="48"/>
      <c r="U123" s="48"/>
      <c r="V123" s="48"/>
    </row>
    <row r="124" spans="2:22" s="46" customFormat="1" ht="15" customHeight="1">
      <c r="B124" s="48"/>
      <c r="C124" s="48"/>
      <c r="D124" s="48"/>
      <c r="E124" s="48"/>
      <c r="F124" s="48"/>
      <c r="G124" s="48"/>
      <c r="H124" s="48"/>
      <c r="I124" s="48"/>
      <c r="J124" s="48"/>
      <c r="K124" s="48"/>
      <c r="L124" s="48"/>
      <c r="M124" s="48"/>
      <c r="N124" s="48"/>
      <c r="O124" s="48"/>
      <c r="P124" s="48"/>
      <c r="Q124" s="48"/>
      <c r="R124" s="48"/>
      <c r="S124" s="48"/>
      <c r="T124" s="48"/>
      <c r="U124" s="48"/>
      <c r="V124" s="48"/>
    </row>
    <row r="125" spans="2:22" s="46" customFormat="1" ht="15" customHeight="1">
      <c r="B125" s="48"/>
      <c r="C125" s="48"/>
      <c r="D125" s="48"/>
      <c r="E125" s="48"/>
      <c r="F125" s="48"/>
      <c r="G125" s="48"/>
      <c r="H125" s="48"/>
      <c r="I125" s="48"/>
      <c r="J125" s="48"/>
      <c r="K125" s="48"/>
      <c r="L125" s="48"/>
      <c r="M125" s="48"/>
      <c r="N125" s="48"/>
      <c r="O125" s="48"/>
      <c r="P125" s="48"/>
      <c r="Q125" s="48"/>
      <c r="R125" s="48"/>
      <c r="S125" s="48"/>
      <c r="T125" s="48"/>
      <c r="U125" s="48"/>
      <c r="V125" s="48"/>
    </row>
    <row r="126" spans="2:22" s="46" customFormat="1" ht="15" customHeight="1">
      <c r="B126" s="48"/>
      <c r="C126" s="48"/>
      <c r="D126" s="48"/>
      <c r="E126" s="48"/>
      <c r="F126" s="48"/>
      <c r="G126" s="48"/>
      <c r="H126" s="48"/>
      <c r="I126" s="48"/>
      <c r="J126" s="48"/>
      <c r="K126" s="48"/>
      <c r="L126" s="48"/>
      <c r="M126" s="48"/>
      <c r="N126" s="48"/>
      <c r="O126" s="48"/>
      <c r="P126" s="48"/>
      <c r="Q126" s="48"/>
      <c r="R126" s="48"/>
      <c r="S126" s="48"/>
      <c r="T126" s="48"/>
      <c r="U126" s="48"/>
      <c r="V126" s="48"/>
    </row>
    <row r="127" spans="2:22" s="46" customFormat="1" ht="15" customHeight="1">
      <c r="B127" s="48"/>
      <c r="C127" s="48"/>
      <c r="D127" s="48"/>
      <c r="E127" s="48"/>
      <c r="F127" s="48"/>
      <c r="G127" s="48"/>
      <c r="H127" s="48"/>
      <c r="I127" s="48"/>
      <c r="J127" s="48"/>
      <c r="K127" s="48"/>
      <c r="L127" s="48"/>
      <c r="M127" s="48"/>
      <c r="N127" s="48"/>
      <c r="O127" s="48"/>
      <c r="P127" s="48"/>
      <c r="Q127" s="48"/>
      <c r="R127" s="48"/>
      <c r="S127" s="48"/>
      <c r="T127" s="48"/>
      <c r="U127" s="48"/>
      <c r="V127" s="48"/>
    </row>
    <row r="128" spans="2:22" s="46" customFormat="1" ht="15" customHeight="1">
      <c r="B128" s="48"/>
      <c r="C128" s="48"/>
      <c r="D128" s="48"/>
      <c r="E128" s="48"/>
      <c r="F128" s="48"/>
      <c r="G128" s="48"/>
      <c r="H128" s="48"/>
      <c r="I128" s="48"/>
      <c r="J128" s="48"/>
      <c r="K128" s="48"/>
      <c r="L128" s="48"/>
      <c r="M128" s="48"/>
      <c r="N128" s="48"/>
      <c r="O128" s="48"/>
      <c r="P128" s="48"/>
      <c r="Q128" s="48"/>
      <c r="R128" s="48"/>
      <c r="S128" s="48"/>
      <c r="T128" s="48"/>
      <c r="U128" s="48"/>
      <c r="V128" s="48"/>
    </row>
    <row r="129" spans="2:22" s="46" customFormat="1" ht="15" customHeight="1">
      <c r="B129" s="48"/>
      <c r="C129" s="48"/>
      <c r="D129" s="48"/>
      <c r="E129" s="48"/>
      <c r="F129" s="48"/>
      <c r="G129" s="48"/>
      <c r="H129" s="48"/>
      <c r="I129" s="48"/>
      <c r="J129" s="48"/>
      <c r="K129" s="48"/>
      <c r="L129" s="48"/>
      <c r="M129" s="48"/>
      <c r="N129" s="48"/>
      <c r="O129" s="48"/>
      <c r="P129" s="48"/>
      <c r="Q129" s="48"/>
      <c r="R129" s="48"/>
      <c r="S129" s="48"/>
      <c r="T129" s="48"/>
      <c r="U129" s="48"/>
      <c r="V129" s="48"/>
    </row>
    <row r="130" spans="2:22" s="46" customFormat="1" ht="15" customHeight="1">
      <c r="B130" s="48"/>
      <c r="C130" s="48"/>
      <c r="D130" s="48"/>
      <c r="E130" s="48"/>
      <c r="F130" s="48"/>
      <c r="G130" s="48"/>
      <c r="H130" s="48"/>
      <c r="I130" s="48"/>
      <c r="J130" s="48"/>
      <c r="K130" s="48"/>
      <c r="L130" s="48"/>
      <c r="M130" s="48"/>
      <c r="N130" s="48"/>
      <c r="O130" s="48"/>
      <c r="P130" s="48"/>
      <c r="Q130" s="48"/>
      <c r="R130" s="48"/>
      <c r="S130" s="48"/>
      <c r="T130" s="48"/>
      <c r="U130" s="48"/>
      <c r="V130" s="48"/>
    </row>
    <row r="131" spans="2:22" s="46" customFormat="1" ht="15" customHeight="1">
      <c r="B131" s="48"/>
      <c r="C131" s="48"/>
      <c r="D131" s="48"/>
      <c r="E131" s="48"/>
      <c r="F131" s="48"/>
      <c r="G131" s="48"/>
      <c r="H131" s="48"/>
      <c r="I131" s="48"/>
      <c r="J131" s="48"/>
      <c r="K131" s="48"/>
      <c r="L131" s="48"/>
      <c r="M131" s="48"/>
      <c r="N131" s="48"/>
      <c r="O131" s="48"/>
      <c r="P131" s="48"/>
      <c r="Q131" s="48"/>
      <c r="R131" s="48"/>
      <c r="S131" s="48"/>
      <c r="T131" s="48"/>
      <c r="U131" s="48"/>
      <c r="V131" s="48"/>
    </row>
    <row r="132" spans="2:22" s="46" customFormat="1" ht="15" customHeight="1">
      <c r="B132" s="48"/>
      <c r="C132" s="48"/>
      <c r="D132" s="48"/>
      <c r="E132" s="48"/>
      <c r="F132" s="48"/>
      <c r="G132" s="48"/>
      <c r="H132" s="48"/>
      <c r="I132" s="48"/>
      <c r="J132" s="48"/>
      <c r="K132" s="48"/>
      <c r="L132" s="48"/>
      <c r="M132" s="48"/>
      <c r="N132" s="48"/>
      <c r="O132" s="48"/>
      <c r="P132" s="48"/>
      <c r="Q132" s="48"/>
      <c r="R132" s="48"/>
      <c r="S132" s="48"/>
      <c r="T132" s="48"/>
      <c r="U132" s="48"/>
      <c r="V132" s="48"/>
    </row>
    <row r="133" spans="2:22" s="46" customFormat="1" ht="15" customHeight="1">
      <c r="B133" s="48"/>
      <c r="C133" s="48"/>
      <c r="D133" s="48"/>
      <c r="E133" s="48"/>
      <c r="F133" s="48"/>
      <c r="G133" s="48"/>
      <c r="H133" s="48"/>
      <c r="I133" s="48"/>
      <c r="J133" s="48"/>
      <c r="K133" s="48"/>
      <c r="L133" s="48"/>
      <c r="M133" s="48"/>
      <c r="N133" s="48"/>
      <c r="O133" s="48"/>
      <c r="P133" s="48"/>
      <c r="Q133" s="48"/>
      <c r="R133" s="48"/>
      <c r="S133" s="48"/>
      <c r="T133" s="48"/>
      <c r="U133" s="48"/>
      <c r="V133" s="48"/>
    </row>
    <row r="134" spans="2:22" s="46" customFormat="1" ht="15" customHeight="1">
      <c r="B134" s="48"/>
      <c r="C134" s="48"/>
      <c r="D134" s="48"/>
      <c r="E134" s="48"/>
      <c r="F134" s="48"/>
      <c r="G134" s="48"/>
      <c r="H134" s="48"/>
      <c r="I134" s="48"/>
      <c r="J134" s="48"/>
      <c r="K134" s="48"/>
      <c r="L134" s="48"/>
      <c r="M134" s="48"/>
      <c r="N134" s="48"/>
      <c r="O134" s="48"/>
      <c r="P134" s="48"/>
      <c r="Q134" s="48"/>
      <c r="R134" s="48"/>
      <c r="S134" s="48"/>
      <c r="T134" s="48"/>
      <c r="U134" s="48"/>
      <c r="V134" s="48"/>
    </row>
    <row r="135" spans="2:22" s="46" customFormat="1" ht="15" customHeight="1">
      <c r="B135" s="48"/>
      <c r="C135" s="48"/>
      <c r="D135" s="48"/>
      <c r="E135" s="48"/>
      <c r="F135" s="48"/>
      <c r="G135" s="48"/>
      <c r="H135" s="48"/>
      <c r="I135" s="48"/>
      <c r="J135" s="48"/>
      <c r="K135" s="48"/>
      <c r="L135" s="48"/>
      <c r="M135" s="48"/>
      <c r="N135" s="48"/>
      <c r="O135" s="48"/>
      <c r="P135" s="48"/>
      <c r="Q135" s="48"/>
      <c r="R135" s="48"/>
      <c r="S135" s="48"/>
      <c r="T135" s="48"/>
      <c r="U135" s="48"/>
      <c r="V135" s="48"/>
    </row>
    <row r="136" spans="2:22" s="46" customFormat="1" ht="15" customHeight="1">
      <c r="B136" s="48"/>
      <c r="C136" s="48"/>
      <c r="D136" s="48"/>
      <c r="E136" s="48"/>
      <c r="F136" s="48"/>
      <c r="G136" s="48"/>
      <c r="H136" s="48"/>
      <c r="I136" s="48"/>
      <c r="J136" s="48"/>
      <c r="K136" s="48"/>
      <c r="L136" s="48"/>
      <c r="M136" s="48"/>
      <c r="N136" s="48"/>
      <c r="O136" s="48"/>
      <c r="P136" s="48"/>
      <c r="Q136" s="48"/>
      <c r="R136" s="48"/>
      <c r="S136" s="48"/>
      <c r="T136" s="48"/>
      <c r="U136" s="48"/>
      <c r="V136" s="48"/>
    </row>
    <row r="137" spans="2:22" s="46" customFormat="1" ht="15" customHeight="1">
      <c r="B137" s="48"/>
      <c r="C137" s="48"/>
      <c r="D137" s="48"/>
      <c r="E137" s="48"/>
      <c r="F137" s="48"/>
      <c r="G137" s="48"/>
      <c r="H137" s="48"/>
      <c r="I137" s="48"/>
      <c r="J137" s="48"/>
      <c r="K137" s="48"/>
      <c r="L137" s="48"/>
      <c r="M137" s="48"/>
      <c r="N137" s="48"/>
      <c r="O137" s="48"/>
      <c r="P137" s="48"/>
      <c r="Q137" s="48"/>
      <c r="R137" s="48"/>
      <c r="S137" s="48"/>
      <c r="T137" s="48"/>
      <c r="U137" s="48"/>
      <c r="V137" s="48"/>
    </row>
    <row r="138" spans="2:22" s="46" customFormat="1" ht="15" customHeight="1">
      <c r="B138" s="48"/>
      <c r="C138" s="48"/>
      <c r="D138" s="48"/>
      <c r="E138" s="48"/>
      <c r="F138" s="48"/>
      <c r="G138" s="48"/>
      <c r="H138" s="48"/>
      <c r="I138" s="48"/>
      <c r="J138" s="48"/>
      <c r="K138" s="48"/>
      <c r="L138" s="48"/>
      <c r="M138" s="48"/>
      <c r="N138" s="48"/>
      <c r="O138" s="48"/>
      <c r="P138" s="48"/>
      <c r="Q138" s="48"/>
      <c r="R138" s="48"/>
      <c r="S138" s="48"/>
      <c r="T138" s="48"/>
      <c r="U138" s="48"/>
      <c r="V138" s="48"/>
    </row>
    <row r="139" spans="2:22" s="46" customFormat="1" ht="15" customHeight="1">
      <c r="B139" s="48"/>
      <c r="C139" s="48"/>
      <c r="D139" s="48"/>
      <c r="E139" s="48"/>
      <c r="F139" s="48"/>
      <c r="G139" s="48"/>
      <c r="H139" s="48"/>
      <c r="I139" s="48"/>
      <c r="J139" s="48"/>
      <c r="K139" s="48"/>
      <c r="L139" s="48"/>
      <c r="M139" s="48"/>
      <c r="N139" s="48"/>
      <c r="O139" s="48"/>
      <c r="P139" s="48"/>
      <c r="Q139" s="48"/>
      <c r="R139" s="48"/>
      <c r="S139" s="48"/>
      <c r="T139" s="48"/>
      <c r="U139" s="48"/>
      <c r="V139" s="48"/>
    </row>
    <row r="140" spans="2:22" s="46" customFormat="1" ht="15" customHeight="1">
      <c r="B140" s="48"/>
      <c r="C140" s="48"/>
      <c r="D140" s="48"/>
      <c r="E140" s="48"/>
      <c r="F140" s="48"/>
      <c r="G140" s="48"/>
      <c r="H140" s="48"/>
      <c r="I140" s="48"/>
      <c r="J140" s="48"/>
      <c r="K140" s="48"/>
      <c r="L140" s="48"/>
      <c r="M140" s="48"/>
      <c r="N140" s="48"/>
      <c r="O140" s="48"/>
      <c r="P140" s="48"/>
      <c r="Q140" s="48"/>
      <c r="R140" s="48"/>
      <c r="S140" s="48"/>
      <c r="T140" s="48"/>
      <c r="U140" s="48"/>
      <c r="V140" s="48"/>
    </row>
    <row r="141" spans="2:22" s="46" customFormat="1" ht="15" customHeight="1">
      <c r="B141" s="48"/>
      <c r="C141" s="48"/>
      <c r="D141" s="48"/>
      <c r="E141" s="48"/>
      <c r="F141" s="48"/>
      <c r="G141" s="48"/>
      <c r="H141" s="48"/>
      <c r="I141" s="48"/>
      <c r="J141" s="48"/>
      <c r="K141" s="48"/>
      <c r="L141" s="48"/>
      <c r="M141" s="48"/>
      <c r="N141" s="48"/>
      <c r="O141" s="48"/>
      <c r="P141" s="48"/>
      <c r="Q141" s="48"/>
      <c r="R141" s="48"/>
      <c r="S141" s="48"/>
      <c r="T141" s="48"/>
      <c r="U141" s="48"/>
      <c r="V141" s="48"/>
    </row>
    <row r="142" spans="2:22" s="46" customFormat="1" ht="15" customHeight="1">
      <c r="B142" s="48"/>
      <c r="C142" s="48"/>
      <c r="D142" s="48"/>
      <c r="E142" s="48"/>
      <c r="F142" s="48"/>
      <c r="G142" s="48"/>
      <c r="H142" s="48"/>
      <c r="I142" s="48"/>
      <c r="J142" s="48"/>
      <c r="K142" s="48"/>
      <c r="L142" s="48"/>
      <c r="M142" s="48"/>
      <c r="N142" s="48"/>
      <c r="O142" s="48"/>
      <c r="P142" s="48"/>
      <c r="Q142" s="48"/>
      <c r="R142" s="48"/>
      <c r="S142" s="48"/>
      <c r="T142" s="48"/>
      <c r="U142" s="48"/>
      <c r="V142" s="48"/>
    </row>
    <row r="143" spans="2:22" s="46" customFormat="1" ht="15" customHeight="1">
      <c r="B143" s="48"/>
      <c r="C143" s="48"/>
      <c r="D143" s="48"/>
      <c r="E143" s="48"/>
      <c r="F143" s="48"/>
      <c r="G143" s="48"/>
      <c r="H143" s="48"/>
      <c r="I143" s="48"/>
      <c r="J143" s="48"/>
      <c r="K143" s="48"/>
      <c r="L143" s="48"/>
      <c r="M143" s="48"/>
      <c r="N143" s="48"/>
      <c r="O143" s="48"/>
      <c r="P143" s="48"/>
      <c r="Q143" s="48"/>
      <c r="R143" s="48"/>
      <c r="S143" s="48"/>
      <c r="T143" s="48"/>
      <c r="U143" s="48"/>
      <c r="V143" s="48"/>
    </row>
    <row r="144" spans="2:22" s="46" customFormat="1" ht="15" customHeight="1">
      <c r="B144" s="48"/>
      <c r="C144" s="48"/>
      <c r="D144" s="48"/>
      <c r="E144" s="48"/>
      <c r="F144" s="48"/>
      <c r="G144" s="48"/>
      <c r="H144" s="48"/>
      <c r="I144" s="48"/>
      <c r="J144" s="48"/>
      <c r="K144" s="48"/>
      <c r="L144" s="48"/>
      <c r="M144" s="48"/>
      <c r="N144" s="48"/>
      <c r="O144" s="48"/>
      <c r="P144" s="48"/>
      <c r="Q144" s="48"/>
      <c r="R144" s="48"/>
      <c r="S144" s="48"/>
      <c r="T144" s="48"/>
      <c r="U144" s="48"/>
      <c r="V144" s="48"/>
    </row>
    <row r="145" spans="2:22" s="46" customFormat="1" ht="15" customHeight="1">
      <c r="B145" s="48"/>
      <c r="C145" s="48"/>
      <c r="D145" s="48"/>
      <c r="E145" s="48"/>
      <c r="F145" s="48"/>
      <c r="G145" s="48"/>
      <c r="H145" s="48"/>
      <c r="I145" s="48"/>
      <c r="J145" s="48"/>
      <c r="K145" s="48"/>
      <c r="L145" s="48"/>
      <c r="M145" s="48"/>
      <c r="N145" s="48"/>
      <c r="O145" s="48"/>
      <c r="P145" s="48"/>
      <c r="Q145" s="48"/>
      <c r="R145" s="48"/>
      <c r="S145" s="48"/>
      <c r="T145" s="48"/>
      <c r="U145" s="48"/>
      <c r="V145" s="48"/>
    </row>
    <row r="146" spans="2:22" s="46" customFormat="1" ht="15" customHeight="1">
      <c r="B146" s="48"/>
      <c r="C146" s="48"/>
      <c r="D146" s="48"/>
      <c r="E146" s="48"/>
      <c r="F146" s="48"/>
      <c r="G146" s="48"/>
      <c r="H146" s="48"/>
      <c r="I146" s="48"/>
      <c r="J146" s="48"/>
      <c r="K146" s="48"/>
      <c r="L146" s="48"/>
      <c r="M146" s="48"/>
      <c r="N146" s="48"/>
      <c r="O146" s="48"/>
      <c r="P146" s="48"/>
      <c r="Q146" s="48"/>
      <c r="R146" s="48"/>
      <c r="S146" s="48"/>
      <c r="T146" s="48"/>
      <c r="U146" s="48"/>
      <c r="V146" s="48"/>
    </row>
    <row r="147" spans="2:22" s="46" customFormat="1" ht="15" customHeight="1">
      <c r="B147" s="48"/>
      <c r="C147" s="48"/>
      <c r="D147" s="48"/>
      <c r="E147" s="48"/>
      <c r="F147" s="48"/>
      <c r="G147" s="48"/>
      <c r="H147" s="48"/>
      <c r="I147" s="48"/>
      <c r="J147" s="48"/>
      <c r="K147" s="48"/>
      <c r="L147" s="48"/>
      <c r="M147" s="48"/>
      <c r="N147" s="48"/>
      <c r="O147" s="48"/>
      <c r="P147" s="48"/>
      <c r="Q147" s="48"/>
      <c r="R147" s="48"/>
      <c r="S147" s="48"/>
      <c r="T147" s="48"/>
      <c r="U147" s="48"/>
      <c r="V147" s="48"/>
    </row>
    <row r="148" spans="2:22" s="46" customFormat="1" ht="15" customHeight="1">
      <c r="B148" s="48"/>
      <c r="C148" s="48"/>
      <c r="D148" s="48"/>
      <c r="E148" s="48"/>
      <c r="F148" s="48"/>
      <c r="G148" s="48"/>
      <c r="H148" s="48"/>
      <c r="I148" s="48"/>
      <c r="J148" s="48"/>
      <c r="K148" s="48"/>
      <c r="L148" s="48"/>
      <c r="M148" s="48"/>
      <c r="N148" s="48"/>
      <c r="O148" s="48"/>
      <c r="P148" s="48"/>
      <c r="Q148" s="48"/>
      <c r="R148" s="48"/>
      <c r="S148" s="48"/>
      <c r="T148" s="48"/>
      <c r="U148" s="48"/>
      <c r="V148" s="48"/>
    </row>
    <row r="149" spans="2:22" s="46" customFormat="1" ht="15" customHeight="1">
      <c r="B149" s="48"/>
      <c r="C149" s="48"/>
      <c r="D149" s="48"/>
      <c r="E149" s="48"/>
      <c r="F149" s="48"/>
      <c r="G149" s="48"/>
      <c r="H149" s="48"/>
      <c r="I149" s="48"/>
      <c r="J149" s="48"/>
      <c r="K149" s="48"/>
      <c r="L149" s="48"/>
      <c r="M149" s="48"/>
      <c r="N149" s="48"/>
      <c r="O149" s="48"/>
      <c r="P149" s="48"/>
      <c r="Q149" s="48"/>
      <c r="R149" s="48"/>
      <c r="S149" s="48"/>
      <c r="T149" s="48"/>
      <c r="U149" s="48"/>
      <c r="V149" s="48"/>
    </row>
    <row r="150" spans="2:22" s="46" customFormat="1" ht="15" customHeight="1">
      <c r="B150" s="48"/>
      <c r="C150" s="48"/>
      <c r="D150" s="48"/>
      <c r="E150" s="48"/>
      <c r="F150" s="48"/>
      <c r="G150" s="48"/>
      <c r="H150" s="48"/>
      <c r="I150" s="48"/>
      <c r="J150" s="48"/>
      <c r="K150" s="48"/>
      <c r="L150" s="48"/>
      <c r="M150" s="48"/>
      <c r="N150" s="48"/>
      <c r="O150" s="48"/>
      <c r="P150" s="48"/>
      <c r="Q150" s="48"/>
      <c r="R150" s="48"/>
      <c r="S150" s="48"/>
      <c r="T150" s="48"/>
      <c r="U150" s="48"/>
      <c r="V150" s="48"/>
    </row>
    <row r="151" spans="2:22" s="46" customFormat="1" ht="15" customHeight="1">
      <c r="B151" s="48"/>
      <c r="C151" s="48"/>
      <c r="D151" s="48"/>
      <c r="E151" s="48"/>
      <c r="F151" s="48"/>
      <c r="G151" s="48"/>
      <c r="H151" s="48"/>
      <c r="I151" s="48"/>
      <c r="J151" s="48"/>
      <c r="K151" s="48"/>
      <c r="L151" s="48"/>
      <c r="M151" s="48"/>
      <c r="N151" s="48"/>
      <c r="O151" s="48"/>
      <c r="P151" s="48"/>
      <c r="Q151" s="48"/>
      <c r="R151" s="48"/>
      <c r="S151" s="48"/>
      <c r="T151" s="48"/>
      <c r="U151" s="48"/>
      <c r="V151" s="48"/>
    </row>
    <row r="152" spans="2:22" s="46" customFormat="1" ht="15" customHeight="1">
      <c r="B152" s="48"/>
      <c r="C152" s="48"/>
      <c r="D152" s="48"/>
      <c r="E152" s="48"/>
      <c r="F152" s="48"/>
      <c r="G152" s="48"/>
      <c r="H152" s="48"/>
      <c r="I152" s="48"/>
      <c r="J152" s="48"/>
      <c r="K152" s="48"/>
      <c r="L152" s="48"/>
      <c r="M152" s="48"/>
      <c r="N152" s="48"/>
      <c r="O152" s="48"/>
      <c r="P152" s="48"/>
      <c r="Q152" s="48"/>
      <c r="R152" s="48"/>
      <c r="S152" s="48"/>
      <c r="T152" s="48"/>
      <c r="U152" s="48"/>
      <c r="V152" s="48"/>
    </row>
    <row r="153" spans="2:22" s="46" customFormat="1" ht="15" customHeight="1">
      <c r="B153" s="48"/>
      <c r="C153" s="48"/>
      <c r="D153" s="48"/>
      <c r="E153" s="48"/>
      <c r="F153" s="48"/>
      <c r="G153" s="48"/>
      <c r="H153" s="48"/>
      <c r="I153" s="48"/>
      <c r="J153" s="48"/>
      <c r="K153" s="48"/>
      <c r="L153" s="48"/>
      <c r="M153" s="48"/>
      <c r="N153" s="48"/>
      <c r="O153" s="48"/>
      <c r="P153" s="48"/>
      <c r="Q153" s="48"/>
      <c r="R153" s="48"/>
      <c r="S153" s="48"/>
      <c r="T153" s="48"/>
      <c r="U153" s="48"/>
      <c r="V153" s="48"/>
    </row>
    <row r="154" spans="2:22" s="46" customFormat="1" ht="15" customHeight="1">
      <c r="B154" s="48"/>
      <c r="C154" s="48"/>
      <c r="D154" s="48"/>
      <c r="E154" s="48"/>
      <c r="F154" s="48"/>
      <c r="G154" s="48"/>
      <c r="H154" s="48"/>
      <c r="I154" s="48"/>
      <c r="J154" s="48"/>
      <c r="K154" s="48"/>
      <c r="L154" s="48"/>
      <c r="M154" s="48"/>
      <c r="N154" s="48"/>
      <c r="O154" s="48"/>
      <c r="P154" s="48"/>
      <c r="Q154" s="48"/>
      <c r="R154" s="48"/>
      <c r="S154" s="48"/>
      <c r="T154" s="48"/>
      <c r="U154" s="48"/>
      <c r="V154" s="48"/>
    </row>
    <row r="155" spans="2:22" s="46" customFormat="1" ht="15" customHeight="1">
      <c r="B155" s="48"/>
      <c r="C155" s="48"/>
      <c r="D155" s="48"/>
      <c r="E155" s="48"/>
      <c r="F155" s="48"/>
      <c r="G155" s="48"/>
      <c r="H155" s="48"/>
      <c r="I155" s="48"/>
      <c r="J155" s="48"/>
      <c r="K155" s="48"/>
      <c r="L155" s="48"/>
      <c r="M155" s="48"/>
      <c r="N155" s="48"/>
      <c r="O155" s="48"/>
      <c r="P155" s="48"/>
      <c r="Q155" s="48"/>
      <c r="R155" s="48"/>
      <c r="S155" s="48"/>
      <c r="T155" s="48"/>
      <c r="U155" s="48"/>
      <c r="V155" s="48"/>
    </row>
    <row r="156" spans="2:22" s="46" customFormat="1" ht="15" customHeight="1">
      <c r="B156" s="48"/>
      <c r="C156" s="48"/>
      <c r="D156" s="48"/>
      <c r="E156" s="48"/>
      <c r="F156" s="48"/>
      <c r="G156" s="48"/>
      <c r="H156" s="48"/>
      <c r="I156" s="48"/>
      <c r="J156" s="48"/>
      <c r="K156" s="48"/>
      <c r="L156" s="48"/>
      <c r="M156" s="48"/>
      <c r="N156" s="48"/>
      <c r="O156" s="48"/>
      <c r="P156" s="48"/>
      <c r="Q156" s="48"/>
      <c r="R156" s="48"/>
      <c r="S156" s="48"/>
      <c r="T156" s="48"/>
      <c r="U156" s="48"/>
      <c r="V156" s="48"/>
    </row>
    <row r="157" spans="2:22" s="46" customFormat="1" ht="15" customHeight="1">
      <c r="B157" s="48"/>
      <c r="C157" s="48"/>
      <c r="D157" s="48"/>
      <c r="E157" s="48"/>
      <c r="F157" s="48"/>
      <c r="G157" s="48"/>
      <c r="H157" s="48"/>
      <c r="I157" s="48"/>
      <c r="J157" s="48"/>
      <c r="K157" s="48"/>
      <c r="L157" s="48"/>
      <c r="M157" s="48"/>
      <c r="N157" s="48"/>
      <c r="O157" s="48"/>
      <c r="P157" s="48"/>
      <c r="Q157" s="48"/>
      <c r="R157" s="48"/>
      <c r="S157" s="48"/>
      <c r="T157" s="48"/>
      <c r="U157" s="48"/>
      <c r="V157" s="48"/>
    </row>
    <row r="158" spans="2:22" s="46" customFormat="1" ht="15" customHeight="1">
      <c r="B158" s="48"/>
      <c r="C158" s="48"/>
      <c r="D158" s="48"/>
      <c r="E158" s="48"/>
      <c r="F158" s="48"/>
      <c r="G158" s="48"/>
      <c r="H158" s="48"/>
      <c r="I158" s="48"/>
      <c r="J158" s="48"/>
      <c r="K158" s="48"/>
      <c r="L158" s="48"/>
      <c r="M158" s="48"/>
      <c r="N158" s="48"/>
      <c r="O158" s="48"/>
      <c r="P158" s="48"/>
      <c r="Q158" s="48"/>
      <c r="R158" s="48"/>
      <c r="S158" s="48"/>
      <c r="T158" s="48"/>
      <c r="U158" s="48"/>
      <c r="V158" s="48"/>
    </row>
    <row r="159" spans="2:22" s="46" customFormat="1" ht="15" customHeight="1">
      <c r="B159" s="48"/>
      <c r="C159" s="48"/>
      <c r="D159" s="48"/>
      <c r="E159" s="48"/>
      <c r="F159" s="48"/>
      <c r="G159" s="48"/>
      <c r="H159" s="48"/>
      <c r="I159" s="48"/>
      <c r="J159" s="48"/>
      <c r="K159" s="48"/>
      <c r="L159" s="48"/>
      <c r="M159" s="48"/>
      <c r="N159" s="48"/>
      <c r="O159" s="48"/>
      <c r="P159" s="48"/>
      <c r="Q159" s="48"/>
      <c r="R159" s="48"/>
      <c r="S159" s="48"/>
      <c r="T159" s="48"/>
      <c r="U159" s="48"/>
      <c r="V159" s="48"/>
    </row>
    <row r="160" spans="2:22" s="46" customFormat="1" ht="15" customHeight="1">
      <c r="B160" s="48"/>
      <c r="C160" s="48"/>
      <c r="D160" s="48"/>
      <c r="E160" s="48"/>
      <c r="F160" s="48"/>
      <c r="G160" s="48"/>
      <c r="H160" s="48"/>
      <c r="I160" s="48"/>
      <c r="J160" s="48"/>
      <c r="K160" s="48"/>
      <c r="L160" s="48"/>
      <c r="M160" s="48"/>
      <c r="N160" s="48"/>
      <c r="O160" s="48"/>
      <c r="P160" s="48"/>
      <c r="Q160" s="48"/>
      <c r="R160" s="48"/>
      <c r="S160" s="48"/>
      <c r="T160" s="48"/>
      <c r="U160" s="48"/>
      <c r="V160" s="48"/>
    </row>
    <row r="161" spans="2:22" s="46" customFormat="1" ht="15" customHeight="1">
      <c r="B161" s="48"/>
      <c r="C161" s="48"/>
      <c r="D161" s="48"/>
      <c r="E161" s="48"/>
      <c r="F161" s="48"/>
      <c r="G161" s="48"/>
      <c r="H161" s="48"/>
      <c r="I161" s="48"/>
      <c r="J161" s="48"/>
      <c r="K161" s="48"/>
      <c r="L161" s="48"/>
      <c r="M161" s="48"/>
      <c r="N161" s="48"/>
      <c r="O161" s="48"/>
      <c r="P161" s="48"/>
      <c r="Q161" s="48"/>
      <c r="R161" s="48"/>
      <c r="S161" s="48"/>
      <c r="T161" s="48"/>
      <c r="U161" s="48"/>
      <c r="V161" s="48"/>
    </row>
    <row r="162" spans="2:22" s="46" customFormat="1" ht="15" customHeight="1">
      <c r="B162" s="48"/>
      <c r="C162" s="48"/>
      <c r="D162" s="48"/>
      <c r="E162" s="48"/>
      <c r="F162" s="48"/>
      <c r="G162" s="48"/>
      <c r="H162" s="48"/>
      <c r="I162" s="48"/>
      <c r="J162" s="48"/>
      <c r="K162" s="48"/>
      <c r="L162" s="48"/>
      <c r="M162" s="48"/>
      <c r="N162" s="48"/>
      <c r="O162" s="48"/>
      <c r="P162" s="48"/>
      <c r="Q162" s="48"/>
      <c r="R162" s="48"/>
      <c r="S162" s="48"/>
      <c r="T162" s="48"/>
      <c r="U162" s="48"/>
      <c r="V162" s="48"/>
    </row>
    <row r="163" spans="2:22" s="46" customFormat="1" ht="15" customHeight="1">
      <c r="B163" s="48"/>
      <c r="C163" s="48"/>
      <c r="D163" s="48"/>
      <c r="E163" s="48"/>
      <c r="F163" s="48"/>
      <c r="G163" s="48"/>
      <c r="H163" s="48"/>
      <c r="I163" s="48"/>
      <c r="J163" s="48"/>
      <c r="K163" s="48"/>
      <c r="L163" s="48"/>
      <c r="M163" s="48"/>
      <c r="N163" s="48"/>
      <c r="O163" s="48"/>
      <c r="P163" s="48"/>
      <c r="Q163" s="48"/>
      <c r="R163" s="48"/>
      <c r="S163" s="48"/>
      <c r="T163" s="48"/>
      <c r="U163" s="48"/>
      <c r="V163" s="48"/>
    </row>
    <row r="164" spans="2:22" s="46" customFormat="1" ht="15" customHeight="1">
      <c r="B164" s="48"/>
      <c r="C164" s="48"/>
      <c r="D164" s="48"/>
      <c r="E164" s="48"/>
      <c r="F164" s="48"/>
      <c r="G164" s="48"/>
      <c r="H164" s="48"/>
      <c r="I164" s="48"/>
      <c r="J164" s="48"/>
      <c r="K164" s="48"/>
      <c r="L164" s="48"/>
      <c r="M164" s="48"/>
      <c r="N164" s="48"/>
      <c r="O164" s="48"/>
      <c r="P164" s="48"/>
      <c r="Q164" s="48"/>
      <c r="R164" s="48"/>
      <c r="S164" s="48"/>
      <c r="T164" s="48"/>
      <c r="U164" s="48"/>
      <c r="V164" s="48"/>
    </row>
    <row r="165" spans="2:22" s="46" customFormat="1" ht="15" customHeight="1">
      <c r="B165" s="48"/>
      <c r="C165" s="48"/>
      <c r="D165" s="48"/>
      <c r="E165" s="48"/>
      <c r="F165" s="48"/>
      <c r="G165" s="48"/>
      <c r="H165" s="48"/>
      <c r="I165" s="48"/>
      <c r="J165" s="48"/>
      <c r="K165" s="48"/>
      <c r="L165" s="48"/>
      <c r="M165" s="48"/>
      <c r="N165" s="48"/>
      <c r="O165" s="48"/>
      <c r="P165" s="48"/>
      <c r="Q165" s="48"/>
      <c r="R165" s="48"/>
      <c r="S165" s="48"/>
      <c r="T165" s="48"/>
      <c r="U165" s="48"/>
      <c r="V165" s="48"/>
    </row>
    <row r="166" spans="2:22" s="46" customFormat="1" ht="15" customHeight="1">
      <c r="B166" s="48"/>
      <c r="C166" s="48"/>
      <c r="D166" s="48"/>
      <c r="E166" s="48"/>
      <c r="F166" s="48"/>
      <c r="G166" s="48"/>
      <c r="H166" s="48"/>
      <c r="I166" s="48"/>
      <c r="J166" s="48"/>
      <c r="K166" s="48"/>
      <c r="L166" s="48"/>
      <c r="M166" s="48"/>
      <c r="N166" s="48"/>
      <c r="O166" s="48"/>
      <c r="P166" s="48"/>
      <c r="Q166" s="48"/>
      <c r="R166" s="48"/>
      <c r="S166" s="48"/>
      <c r="T166" s="48"/>
      <c r="U166" s="48"/>
      <c r="V166" s="48"/>
    </row>
    <row r="167" spans="2:22" s="46" customFormat="1" ht="15" customHeight="1">
      <c r="B167" s="48"/>
      <c r="C167" s="48"/>
      <c r="D167" s="48"/>
      <c r="E167" s="48"/>
      <c r="F167" s="48"/>
      <c r="G167" s="48"/>
      <c r="H167" s="48"/>
      <c r="I167" s="48"/>
      <c r="J167" s="48"/>
      <c r="K167" s="48"/>
      <c r="L167" s="48"/>
      <c r="M167" s="48"/>
      <c r="N167" s="48"/>
      <c r="O167" s="48"/>
      <c r="P167" s="48"/>
      <c r="Q167" s="48"/>
      <c r="R167" s="48"/>
      <c r="S167" s="48"/>
      <c r="T167" s="48"/>
      <c r="U167" s="48"/>
      <c r="V167" s="48"/>
    </row>
    <row r="168" spans="2:22" s="46" customFormat="1" ht="15" customHeight="1">
      <c r="B168" s="48"/>
      <c r="C168" s="48"/>
      <c r="D168" s="48"/>
      <c r="E168" s="48"/>
      <c r="F168" s="48"/>
      <c r="G168" s="48"/>
      <c r="H168" s="48"/>
      <c r="I168" s="48"/>
      <c r="J168" s="48"/>
      <c r="K168" s="48"/>
      <c r="L168" s="48"/>
      <c r="M168" s="48"/>
      <c r="N168" s="48"/>
      <c r="O168" s="48"/>
      <c r="P168" s="48"/>
      <c r="Q168" s="48"/>
      <c r="R168" s="48"/>
      <c r="S168" s="48"/>
      <c r="T168" s="48"/>
      <c r="U168" s="48"/>
      <c r="V168" s="48"/>
    </row>
    <row r="169" spans="2:22" s="46" customFormat="1" ht="15" customHeight="1">
      <c r="B169" s="48"/>
      <c r="C169" s="48"/>
      <c r="D169" s="48"/>
      <c r="E169" s="48"/>
      <c r="F169" s="48"/>
      <c r="G169" s="48"/>
      <c r="H169" s="48"/>
      <c r="I169" s="48"/>
      <c r="J169" s="48"/>
      <c r="K169" s="48"/>
      <c r="L169" s="48"/>
      <c r="M169" s="48"/>
      <c r="N169" s="48"/>
      <c r="O169" s="48"/>
      <c r="P169" s="48"/>
      <c r="Q169" s="48"/>
      <c r="R169" s="48"/>
      <c r="S169" s="48"/>
      <c r="T169" s="48"/>
      <c r="U169" s="48"/>
      <c r="V169" s="48"/>
    </row>
    <row r="170" spans="2:22" s="46" customFormat="1" ht="15" customHeight="1">
      <c r="B170" s="48"/>
      <c r="C170" s="48"/>
      <c r="D170" s="48"/>
      <c r="E170" s="48"/>
      <c r="F170" s="48"/>
      <c r="G170" s="48"/>
      <c r="H170" s="48"/>
      <c r="I170" s="48"/>
      <c r="J170" s="48"/>
      <c r="K170" s="48"/>
      <c r="L170" s="48"/>
      <c r="M170" s="48"/>
      <c r="N170" s="48"/>
      <c r="O170" s="48"/>
      <c r="P170" s="48"/>
      <c r="Q170" s="48"/>
      <c r="R170" s="48"/>
      <c r="S170" s="48"/>
      <c r="T170" s="48"/>
      <c r="U170" s="48"/>
      <c r="V170" s="48"/>
    </row>
    <row r="171" spans="2:22" s="46" customFormat="1" ht="15" customHeight="1">
      <c r="B171" s="48"/>
      <c r="C171" s="48"/>
      <c r="D171" s="48"/>
      <c r="E171" s="48"/>
      <c r="F171" s="48"/>
      <c r="G171" s="48"/>
      <c r="H171" s="48"/>
      <c r="I171" s="48"/>
      <c r="J171" s="48"/>
      <c r="K171" s="48"/>
      <c r="L171" s="48"/>
      <c r="M171" s="48"/>
      <c r="N171" s="48"/>
      <c r="O171" s="48"/>
      <c r="P171" s="48"/>
      <c r="Q171" s="48"/>
      <c r="R171" s="48"/>
      <c r="S171" s="48"/>
      <c r="T171" s="48"/>
      <c r="U171" s="48"/>
      <c r="V171" s="48"/>
    </row>
    <row r="172" spans="2:22" s="46" customFormat="1" ht="15" customHeight="1">
      <c r="B172" s="48"/>
      <c r="C172" s="48"/>
      <c r="D172" s="48"/>
      <c r="E172" s="48"/>
      <c r="F172" s="48"/>
      <c r="G172" s="48"/>
      <c r="H172" s="48"/>
      <c r="I172" s="48"/>
      <c r="J172" s="48"/>
      <c r="K172" s="48"/>
      <c r="L172" s="48"/>
      <c r="M172" s="48"/>
      <c r="N172" s="48"/>
      <c r="O172" s="48"/>
      <c r="P172" s="48"/>
      <c r="Q172" s="48"/>
      <c r="R172" s="48"/>
      <c r="S172" s="48"/>
      <c r="T172" s="48"/>
      <c r="U172" s="48"/>
      <c r="V172" s="48"/>
    </row>
    <row r="173" spans="2:22" s="46" customFormat="1" ht="15" customHeight="1">
      <c r="B173" s="48"/>
      <c r="C173" s="48"/>
      <c r="D173" s="48"/>
      <c r="E173" s="48"/>
      <c r="F173" s="48"/>
      <c r="G173" s="48"/>
      <c r="H173" s="48"/>
      <c r="I173" s="48"/>
      <c r="J173" s="48"/>
      <c r="K173" s="48"/>
      <c r="L173" s="48"/>
      <c r="M173" s="48"/>
      <c r="N173" s="48"/>
      <c r="O173" s="48"/>
      <c r="P173" s="48"/>
      <c r="Q173" s="48"/>
      <c r="R173" s="48"/>
      <c r="S173" s="48"/>
      <c r="T173" s="48"/>
      <c r="U173" s="48"/>
      <c r="V173" s="48"/>
    </row>
    <row r="174" spans="2:22" s="46" customFormat="1" ht="15" customHeight="1">
      <c r="B174" s="48"/>
      <c r="C174" s="48"/>
      <c r="D174" s="48"/>
      <c r="E174" s="48"/>
      <c r="F174" s="48"/>
      <c r="G174" s="48"/>
      <c r="H174" s="48"/>
      <c r="I174" s="48"/>
      <c r="J174" s="48"/>
      <c r="K174" s="48"/>
      <c r="L174" s="48"/>
      <c r="M174" s="48"/>
      <c r="N174" s="48"/>
      <c r="O174" s="48"/>
      <c r="P174" s="48"/>
      <c r="Q174" s="48"/>
      <c r="R174" s="48"/>
      <c r="S174" s="48"/>
      <c r="T174" s="48"/>
      <c r="U174" s="48"/>
      <c r="V174" s="48"/>
    </row>
    <row r="175" spans="2:22" s="46" customFormat="1" ht="15" customHeight="1">
      <c r="B175" s="48"/>
      <c r="C175" s="48"/>
      <c r="D175" s="48"/>
      <c r="E175" s="48"/>
      <c r="F175" s="48"/>
      <c r="G175" s="48"/>
      <c r="H175" s="48"/>
      <c r="I175" s="48"/>
      <c r="J175" s="48"/>
      <c r="K175" s="48"/>
      <c r="L175" s="48"/>
      <c r="M175" s="48"/>
      <c r="N175" s="48"/>
      <c r="O175" s="48"/>
      <c r="P175" s="48"/>
      <c r="Q175" s="48"/>
      <c r="R175" s="48"/>
      <c r="S175" s="48"/>
      <c r="T175" s="48"/>
      <c r="U175" s="48"/>
      <c r="V175" s="48"/>
    </row>
    <row r="176" spans="2:22" s="46" customFormat="1" ht="15" customHeight="1">
      <c r="B176" s="48"/>
      <c r="C176" s="48"/>
      <c r="D176" s="48"/>
      <c r="E176" s="48"/>
      <c r="F176" s="48"/>
      <c r="G176" s="48"/>
      <c r="H176" s="48"/>
      <c r="I176" s="48"/>
      <c r="J176" s="48"/>
      <c r="K176" s="48"/>
      <c r="L176" s="48"/>
      <c r="M176" s="48"/>
      <c r="N176" s="48"/>
      <c r="O176" s="48"/>
      <c r="P176" s="48"/>
      <c r="Q176" s="48"/>
      <c r="R176" s="48"/>
      <c r="S176" s="48"/>
      <c r="T176" s="48"/>
      <c r="U176" s="48"/>
      <c r="V176" s="48"/>
    </row>
    <row r="177" spans="2:22" s="46" customFormat="1" ht="15" customHeight="1">
      <c r="B177" s="48"/>
      <c r="C177" s="48"/>
      <c r="D177" s="48"/>
      <c r="E177" s="48"/>
      <c r="F177" s="48"/>
      <c r="G177" s="48"/>
      <c r="H177" s="48"/>
      <c r="I177" s="48"/>
      <c r="J177" s="48"/>
      <c r="K177" s="48"/>
      <c r="L177" s="48"/>
      <c r="M177" s="48"/>
      <c r="N177" s="48"/>
      <c r="O177" s="48"/>
      <c r="P177" s="48"/>
      <c r="Q177" s="48"/>
      <c r="R177" s="48"/>
      <c r="S177" s="48"/>
      <c r="T177" s="48"/>
      <c r="U177" s="48"/>
      <c r="V177" s="48"/>
    </row>
    <row r="178" spans="2:22" s="46" customFormat="1" ht="15" customHeight="1">
      <c r="B178" s="48"/>
      <c r="C178" s="48"/>
      <c r="D178" s="48"/>
      <c r="E178" s="48"/>
      <c r="F178" s="48"/>
      <c r="G178" s="48"/>
      <c r="H178" s="48"/>
      <c r="I178" s="48"/>
      <c r="J178" s="48"/>
      <c r="K178" s="48"/>
      <c r="L178" s="48"/>
      <c r="M178" s="48"/>
      <c r="N178" s="48"/>
      <c r="O178" s="48"/>
      <c r="P178" s="48"/>
      <c r="Q178" s="48"/>
      <c r="R178" s="48"/>
      <c r="S178" s="48"/>
      <c r="T178" s="48"/>
      <c r="U178" s="48"/>
      <c r="V178" s="48"/>
    </row>
    <row r="179" spans="2:22" s="46" customFormat="1" ht="15" customHeight="1">
      <c r="B179" s="48"/>
      <c r="C179" s="48"/>
      <c r="D179" s="48"/>
      <c r="E179" s="48"/>
      <c r="F179" s="48"/>
      <c r="G179" s="48"/>
      <c r="H179" s="48"/>
      <c r="I179" s="48"/>
      <c r="J179" s="48"/>
      <c r="K179" s="48"/>
      <c r="L179" s="48"/>
      <c r="M179" s="48"/>
      <c r="N179" s="48"/>
      <c r="O179" s="48"/>
      <c r="P179" s="48"/>
      <c r="Q179" s="48"/>
      <c r="R179" s="48"/>
      <c r="S179" s="48"/>
      <c r="T179" s="48"/>
      <c r="U179" s="48"/>
      <c r="V179" s="48"/>
    </row>
    <row r="180" spans="2:22" s="46" customFormat="1" ht="15" customHeight="1">
      <c r="B180" s="48"/>
      <c r="C180" s="48"/>
      <c r="D180" s="48"/>
      <c r="E180" s="48"/>
      <c r="F180" s="48"/>
      <c r="G180" s="48"/>
      <c r="H180" s="48"/>
      <c r="I180" s="48"/>
      <c r="J180" s="48"/>
      <c r="K180" s="48"/>
      <c r="L180" s="48"/>
      <c r="M180" s="48"/>
      <c r="N180" s="48"/>
      <c r="O180" s="48"/>
      <c r="P180" s="48"/>
      <c r="Q180" s="48"/>
      <c r="R180" s="48"/>
      <c r="S180" s="48"/>
      <c r="T180" s="48"/>
      <c r="U180" s="48"/>
      <c r="V180" s="48"/>
    </row>
    <row r="181" spans="2:22" s="46" customFormat="1" ht="15" customHeight="1">
      <c r="B181" s="48"/>
      <c r="C181" s="48"/>
      <c r="D181" s="48"/>
      <c r="E181" s="48"/>
      <c r="F181" s="48"/>
      <c r="G181" s="48"/>
      <c r="H181" s="48"/>
      <c r="I181" s="48"/>
      <c r="J181" s="48"/>
      <c r="K181" s="48"/>
      <c r="L181" s="48"/>
      <c r="M181" s="48"/>
      <c r="N181" s="48"/>
      <c r="O181" s="48"/>
      <c r="P181" s="48"/>
      <c r="Q181" s="48"/>
      <c r="R181" s="48"/>
      <c r="S181" s="48"/>
      <c r="T181" s="48"/>
      <c r="U181" s="48"/>
      <c r="V181" s="48"/>
    </row>
    <row r="182" spans="2:22" s="46" customFormat="1" ht="15" customHeight="1">
      <c r="B182" s="48"/>
      <c r="C182" s="48"/>
      <c r="D182" s="48"/>
      <c r="E182" s="48"/>
      <c r="F182" s="48"/>
      <c r="G182" s="48"/>
      <c r="H182" s="48"/>
      <c r="I182" s="48"/>
      <c r="J182" s="48"/>
      <c r="K182" s="48"/>
      <c r="L182" s="48"/>
      <c r="M182" s="48"/>
      <c r="N182" s="48"/>
      <c r="O182" s="48"/>
      <c r="P182" s="48"/>
      <c r="Q182" s="48"/>
      <c r="R182" s="48"/>
      <c r="S182" s="48"/>
      <c r="T182" s="48"/>
      <c r="U182" s="48"/>
      <c r="V182" s="48"/>
    </row>
    <row r="183" spans="2:22" s="46" customFormat="1" ht="15" customHeight="1">
      <c r="B183" s="48"/>
      <c r="C183" s="48"/>
      <c r="D183" s="48"/>
      <c r="E183" s="48"/>
      <c r="F183" s="48"/>
      <c r="G183" s="48"/>
      <c r="H183" s="48"/>
      <c r="I183" s="48"/>
      <c r="J183" s="48"/>
      <c r="K183" s="48"/>
      <c r="L183" s="48"/>
      <c r="M183" s="48"/>
      <c r="N183" s="48"/>
      <c r="O183" s="48"/>
      <c r="P183" s="48"/>
      <c r="Q183" s="48"/>
      <c r="R183" s="48"/>
      <c r="S183" s="48"/>
      <c r="T183" s="48"/>
      <c r="U183" s="48"/>
      <c r="V183" s="48"/>
    </row>
    <row r="184" spans="2:22" s="46" customFormat="1" ht="15" customHeight="1">
      <c r="B184" s="48"/>
      <c r="C184" s="48"/>
      <c r="D184" s="48"/>
      <c r="E184" s="48"/>
      <c r="F184" s="48"/>
      <c r="G184" s="48"/>
      <c r="H184" s="48"/>
      <c r="I184" s="48"/>
      <c r="J184" s="48"/>
      <c r="K184" s="48"/>
      <c r="L184" s="48"/>
      <c r="M184" s="48"/>
      <c r="N184" s="48"/>
      <c r="O184" s="48"/>
      <c r="P184" s="48"/>
      <c r="Q184" s="48"/>
      <c r="R184" s="48"/>
      <c r="S184" s="48"/>
      <c r="T184" s="48"/>
      <c r="U184" s="48"/>
      <c r="V184" s="48"/>
    </row>
    <row r="185" spans="2:22" s="46" customFormat="1" ht="15" customHeight="1">
      <c r="B185" s="48"/>
      <c r="C185" s="48"/>
      <c r="D185" s="48"/>
      <c r="E185" s="48"/>
      <c r="F185" s="48"/>
      <c r="G185" s="48"/>
      <c r="H185" s="48"/>
      <c r="I185" s="48"/>
      <c r="J185" s="48"/>
      <c r="K185" s="48"/>
      <c r="L185" s="48"/>
      <c r="M185" s="48"/>
      <c r="N185" s="48"/>
      <c r="O185" s="48"/>
      <c r="P185" s="48"/>
      <c r="Q185" s="48"/>
      <c r="R185" s="48"/>
      <c r="S185" s="48"/>
      <c r="T185" s="48"/>
      <c r="U185" s="48"/>
      <c r="V185" s="48"/>
    </row>
    <row r="186" spans="2:22" s="46" customFormat="1" ht="15" customHeight="1">
      <c r="B186" s="48"/>
      <c r="C186" s="48"/>
      <c r="D186" s="48"/>
      <c r="E186" s="48"/>
      <c r="F186" s="48"/>
      <c r="G186" s="48"/>
      <c r="H186" s="48"/>
      <c r="I186" s="48"/>
      <c r="J186" s="48"/>
      <c r="K186" s="48"/>
      <c r="L186" s="48"/>
      <c r="M186" s="48"/>
      <c r="N186" s="48"/>
      <c r="O186" s="48"/>
      <c r="P186" s="48"/>
      <c r="Q186" s="48"/>
      <c r="R186" s="48"/>
      <c r="S186" s="48"/>
      <c r="T186" s="48"/>
      <c r="U186" s="48"/>
      <c r="V186" s="48"/>
    </row>
    <row r="187" spans="2:22" s="46" customFormat="1" ht="15" customHeight="1">
      <c r="B187" s="48"/>
      <c r="C187" s="48"/>
      <c r="D187" s="48"/>
      <c r="E187" s="48"/>
      <c r="F187" s="48"/>
      <c r="G187" s="48"/>
      <c r="H187" s="48"/>
      <c r="I187" s="48"/>
      <c r="J187" s="48"/>
      <c r="K187" s="48"/>
      <c r="L187" s="48"/>
      <c r="M187" s="48"/>
      <c r="N187" s="48"/>
      <c r="O187" s="48"/>
      <c r="P187" s="48"/>
      <c r="Q187" s="48"/>
      <c r="R187" s="48"/>
      <c r="S187" s="48"/>
      <c r="T187" s="48"/>
      <c r="U187" s="48"/>
      <c r="V187" s="48"/>
    </row>
    <row r="188" spans="2:22" s="46" customFormat="1" ht="15" customHeight="1">
      <c r="B188" s="48"/>
      <c r="C188" s="48"/>
      <c r="D188" s="48"/>
      <c r="E188" s="48"/>
      <c r="F188" s="48"/>
      <c r="G188" s="48"/>
      <c r="H188" s="48"/>
      <c r="I188" s="48"/>
      <c r="J188" s="48"/>
      <c r="K188" s="48"/>
      <c r="L188" s="48"/>
      <c r="M188" s="48"/>
      <c r="N188" s="48"/>
      <c r="O188" s="48"/>
      <c r="P188" s="48"/>
      <c r="Q188" s="48"/>
      <c r="R188" s="48"/>
      <c r="S188" s="48"/>
      <c r="T188" s="48"/>
      <c r="U188" s="48"/>
      <c r="V188" s="48"/>
    </row>
    <row r="189" spans="2:22" s="46" customFormat="1" ht="15" customHeight="1">
      <c r="B189" s="48"/>
      <c r="C189" s="48"/>
      <c r="D189" s="48"/>
      <c r="E189" s="48"/>
      <c r="F189" s="48"/>
      <c r="G189" s="48"/>
      <c r="H189" s="48"/>
      <c r="I189" s="48"/>
      <c r="J189" s="48"/>
      <c r="K189" s="48"/>
      <c r="L189" s="48"/>
      <c r="M189" s="48"/>
      <c r="N189" s="48"/>
      <c r="O189" s="48"/>
      <c r="P189" s="48"/>
      <c r="Q189" s="48"/>
      <c r="R189" s="48"/>
      <c r="S189" s="48"/>
      <c r="T189" s="48"/>
      <c r="U189" s="48"/>
      <c r="V189" s="48"/>
    </row>
    <row r="190" spans="2:22" s="46" customFormat="1" ht="15" customHeight="1">
      <c r="B190" s="48"/>
      <c r="C190" s="48"/>
      <c r="D190" s="48"/>
      <c r="E190" s="48"/>
      <c r="F190" s="48"/>
      <c r="G190" s="48"/>
      <c r="H190" s="48"/>
      <c r="I190" s="48"/>
      <c r="J190" s="48"/>
      <c r="K190" s="48"/>
      <c r="L190" s="48"/>
      <c r="M190" s="48"/>
      <c r="N190" s="48"/>
      <c r="O190" s="48"/>
      <c r="P190" s="48"/>
      <c r="Q190" s="48"/>
      <c r="R190" s="48"/>
      <c r="S190" s="48"/>
      <c r="T190" s="48"/>
      <c r="U190" s="48"/>
      <c r="V190" s="48"/>
    </row>
    <row r="191" spans="2:22" s="46" customFormat="1" ht="15" customHeight="1">
      <c r="B191" s="48"/>
      <c r="C191" s="48"/>
      <c r="D191" s="48"/>
      <c r="E191" s="48"/>
      <c r="F191" s="48"/>
      <c r="G191" s="48"/>
      <c r="H191" s="48"/>
      <c r="I191" s="48"/>
      <c r="J191" s="48"/>
      <c r="K191" s="48"/>
      <c r="L191" s="48"/>
      <c r="M191" s="48"/>
      <c r="N191" s="48"/>
      <c r="O191" s="48"/>
      <c r="P191" s="48"/>
      <c r="Q191" s="48"/>
      <c r="R191" s="48"/>
      <c r="S191" s="48"/>
      <c r="T191" s="48"/>
      <c r="U191" s="48"/>
      <c r="V191" s="48"/>
    </row>
    <row r="192" spans="2:22" s="46" customFormat="1" ht="15" customHeight="1">
      <c r="B192" s="48"/>
      <c r="C192" s="48"/>
      <c r="D192" s="48"/>
      <c r="E192" s="48"/>
      <c r="F192" s="48"/>
      <c r="G192" s="48"/>
      <c r="H192" s="48"/>
      <c r="I192" s="48"/>
      <c r="J192" s="48"/>
      <c r="K192" s="48"/>
      <c r="L192" s="48"/>
      <c r="M192" s="48"/>
      <c r="N192" s="48"/>
      <c r="O192" s="48"/>
      <c r="P192" s="48"/>
      <c r="Q192" s="48"/>
      <c r="R192" s="48"/>
      <c r="S192" s="48"/>
      <c r="T192" s="48"/>
      <c r="U192" s="48"/>
      <c r="V192" s="48"/>
    </row>
    <row r="193" spans="2:22" s="46" customFormat="1" ht="15" customHeight="1">
      <c r="B193" s="48"/>
      <c r="C193" s="48"/>
      <c r="D193" s="48"/>
      <c r="E193" s="48"/>
      <c r="F193" s="48"/>
      <c r="G193" s="48"/>
      <c r="H193" s="48"/>
      <c r="I193" s="48"/>
      <c r="J193" s="48"/>
      <c r="K193" s="48"/>
      <c r="L193" s="48"/>
      <c r="M193" s="48"/>
      <c r="N193" s="48"/>
      <c r="O193" s="48"/>
      <c r="P193" s="48"/>
      <c r="Q193" s="48"/>
      <c r="R193" s="48"/>
      <c r="S193" s="48"/>
      <c r="T193" s="48"/>
      <c r="U193" s="48"/>
      <c r="V193" s="48"/>
    </row>
    <row r="194" spans="2:22" s="46" customFormat="1" ht="15" customHeight="1">
      <c r="B194" s="48"/>
      <c r="C194" s="48"/>
      <c r="D194" s="48"/>
      <c r="E194" s="48"/>
      <c r="F194" s="48"/>
      <c r="G194" s="48"/>
      <c r="H194" s="48"/>
      <c r="I194" s="48"/>
      <c r="J194" s="48"/>
      <c r="K194" s="48"/>
      <c r="L194" s="48"/>
      <c r="M194" s="48"/>
      <c r="N194" s="48"/>
      <c r="O194" s="48"/>
      <c r="P194" s="48"/>
      <c r="Q194" s="48"/>
      <c r="R194" s="48"/>
      <c r="S194" s="48"/>
      <c r="T194" s="48"/>
      <c r="U194" s="48"/>
      <c r="V194" s="48"/>
    </row>
    <row r="195" spans="2:22" s="46" customFormat="1" ht="15" customHeight="1">
      <c r="B195" s="48"/>
      <c r="C195" s="48"/>
      <c r="D195" s="48"/>
      <c r="E195" s="48"/>
      <c r="F195" s="48"/>
      <c r="G195" s="48"/>
      <c r="H195" s="48"/>
      <c r="I195" s="48"/>
      <c r="J195" s="48"/>
      <c r="K195" s="48"/>
      <c r="L195" s="48"/>
      <c r="M195" s="48"/>
      <c r="N195" s="48"/>
      <c r="O195" s="48"/>
      <c r="P195" s="48"/>
      <c r="Q195" s="48"/>
      <c r="R195" s="48"/>
      <c r="S195" s="48"/>
      <c r="T195" s="48"/>
      <c r="U195" s="48"/>
      <c r="V195" s="48"/>
    </row>
    <row r="196" spans="2:22" s="46" customFormat="1" ht="15" customHeight="1">
      <c r="B196" s="48"/>
      <c r="C196" s="48"/>
      <c r="D196" s="48"/>
      <c r="E196" s="48"/>
      <c r="F196" s="48"/>
      <c r="G196" s="48"/>
      <c r="H196" s="48"/>
      <c r="I196" s="48"/>
      <c r="J196" s="48"/>
      <c r="K196" s="48"/>
      <c r="L196" s="48"/>
      <c r="M196" s="48"/>
      <c r="N196" s="48"/>
      <c r="O196" s="48"/>
      <c r="P196" s="48"/>
      <c r="Q196" s="48"/>
      <c r="R196" s="48"/>
      <c r="S196" s="48"/>
      <c r="T196" s="48"/>
      <c r="U196" s="48"/>
      <c r="V196" s="48"/>
    </row>
    <row r="197" spans="2:22" s="46" customFormat="1" ht="15" customHeight="1">
      <c r="B197" s="48"/>
      <c r="C197" s="48"/>
      <c r="D197" s="48"/>
      <c r="E197" s="48"/>
      <c r="F197" s="48"/>
      <c r="G197" s="48"/>
      <c r="H197" s="48"/>
      <c r="I197" s="48"/>
      <c r="J197" s="48"/>
      <c r="K197" s="48"/>
      <c r="L197" s="48"/>
      <c r="M197" s="48"/>
      <c r="N197" s="48"/>
      <c r="O197" s="48"/>
      <c r="P197" s="48"/>
      <c r="Q197" s="48"/>
      <c r="R197" s="48"/>
      <c r="S197" s="48"/>
      <c r="T197" s="48"/>
      <c r="U197" s="48"/>
      <c r="V197" s="48"/>
    </row>
    <row r="198" spans="2:22" s="46" customFormat="1" ht="15" customHeight="1">
      <c r="B198" s="48"/>
      <c r="C198" s="48"/>
      <c r="D198" s="48"/>
      <c r="E198" s="48"/>
      <c r="F198" s="48"/>
      <c r="G198" s="48"/>
      <c r="H198" s="48"/>
      <c r="I198" s="48"/>
      <c r="J198" s="48"/>
      <c r="K198" s="48"/>
      <c r="L198" s="48"/>
      <c r="M198" s="48"/>
      <c r="N198" s="48"/>
      <c r="O198" s="48"/>
      <c r="P198" s="48"/>
      <c r="Q198" s="48"/>
      <c r="R198" s="48"/>
      <c r="S198" s="48"/>
      <c r="T198" s="48"/>
      <c r="U198" s="48"/>
      <c r="V198" s="48"/>
    </row>
    <row r="199" spans="2:22" s="46" customFormat="1" ht="15" customHeight="1">
      <c r="B199" s="48"/>
      <c r="C199" s="48"/>
      <c r="D199" s="48"/>
      <c r="E199" s="48"/>
      <c r="F199" s="48"/>
      <c r="G199" s="48"/>
      <c r="H199" s="48"/>
      <c r="I199" s="48"/>
      <c r="J199" s="48"/>
      <c r="K199" s="48"/>
      <c r="L199" s="48"/>
      <c r="M199" s="48"/>
      <c r="N199" s="48"/>
      <c r="O199" s="48"/>
      <c r="P199" s="48"/>
      <c r="Q199" s="48"/>
      <c r="R199" s="48"/>
      <c r="S199" s="48"/>
      <c r="T199" s="48"/>
      <c r="U199" s="48"/>
      <c r="V199" s="48"/>
    </row>
    <row r="200" spans="2:22" s="46" customFormat="1" ht="15" customHeight="1">
      <c r="B200" s="48"/>
      <c r="C200" s="48"/>
      <c r="D200" s="48"/>
      <c r="E200" s="48"/>
      <c r="F200" s="48"/>
      <c r="G200" s="48"/>
      <c r="H200" s="48"/>
      <c r="I200" s="48"/>
      <c r="J200" s="48"/>
      <c r="K200" s="48"/>
      <c r="L200" s="48"/>
      <c r="M200" s="48"/>
      <c r="N200" s="48"/>
      <c r="O200" s="48"/>
      <c r="P200" s="48"/>
      <c r="Q200" s="48"/>
      <c r="R200" s="48"/>
      <c r="S200" s="48"/>
      <c r="T200" s="48"/>
      <c r="U200" s="48"/>
      <c r="V200" s="48"/>
    </row>
    <row r="201" spans="2:22" s="46" customFormat="1" ht="15" customHeight="1">
      <c r="B201" s="48"/>
      <c r="C201" s="48"/>
      <c r="D201" s="48"/>
      <c r="E201" s="48"/>
      <c r="F201" s="48"/>
      <c r="G201" s="48"/>
      <c r="H201" s="48"/>
      <c r="I201" s="48"/>
      <c r="J201" s="48"/>
      <c r="K201" s="48"/>
      <c r="L201" s="48"/>
      <c r="M201" s="48"/>
      <c r="N201" s="48"/>
      <c r="O201" s="48"/>
      <c r="P201" s="48"/>
      <c r="Q201" s="48"/>
      <c r="R201" s="48"/>
      <c r="S201" s="48"/>
      <c r="T201" s="48"/>
      <c r="U201" s="48"/>
      <c r="V201" s="48"/>
    </row>
    <row r="202" spans="2:22" s="46" customFormat="1" ht="15" customHeight="1">
      <c r="B202" s="48"/>
      <c r="C202" s="48"/>
      <c r="D202" s="48"/>
      <c r="E202" s="48"/>
      <c r="F202" s="48"/>
      <c r="G202" s="48"/>
      <c r="H202" s="48"/>
      <c r="I202" s="48"/>
      <c r="J202" s="48"/>
      <c r="K202" s="48"/>
      <c r="L202" s="48"/>
      <c r="M202" s="48"/>
      <c r="N202" s="48"/>
      <c r="O202" s="48"/>
      <c r="P202" s="48"/>
      <c r="Q202" s="48"/>
      <c r="R202" s="48"/>
      <c r="S202" s="48"/>
      <c r="T202" s="48"/>
      <c r="U202" s="48"/>
      <c r="V202" s="48"/>
    </row>
    <row r="203" spans="2:22" s="46" customFormat="1" ht="15" customHeight="1">
      <c r="B203" s="48"/>
      <c r="C203" s="48"/>
      <c r="D203" s="48"/>
      <c r="E203" s="48"/>
      <c r="F203" s="48"/>
      <c r="G203" s="48"/>
      <c r="H203" s="48"/>
      <c r="I203" s="48"/>
      <c r="J203" s="48"/>
      <c r="K203" s="48"/>
      <c r="L203" s="48"/>
      <c r="M203" s="48"/>
      <c r="N203" s="48"/>
      <c r="O203" s="48"/>
      <c r="P203" s="48"/>
      <c r="Q203" s="48"/>
      <c r="R203" s="48"/>
      <c r="S203" s="48"/>
      <c r="T203" s="48"/>
      <c r="U203" s="48"/>
      <c r="V203" s="48"/>
    </row>
    <row r="204" spans="2:22" s="46" customFormat="1" ht="15" customHeight="1">
      <c r="B204" s="48"/>
      <c r="C204" s="48"/>
      <c r="D204" s="48"/>
      <c r="E204" s="48"/>
      <c r="F204" s="48"/>
      <c r="G204" s="48"/>
      <c r="H204" s="48"/>
      <c r="I204" s="48"/>
      <c r="J204" s="48"/>
      <c r="K204" s="48"/>
      <c r="L204" s="48"/>
      <c r="M204" s="48"/>
      <c r="N204" s="48"/>
      <c r="O204" s="48"/>
      <c r="P204" s="48"/>
      <c r="Q204" s="48"/>
      <c r="R204" s="48"/>
      <c r="S204" s="48"/>
      <c r="T204" s="48"/>
      <c r="U204" s="48"/>
      <c r="V204" s="48"/>
    </row>
    <row r="205" spans="2:22" s="46" customFormat="1" ht="15" customHeight="1">
      <c r="B205" s="48"/>
      <c r="C205" s="48"/>
      <c r="D205" s="48"/>
      <c r="E205" s="48"/>
      <c r="F205" s="48"/>
      <c r="G205" s="48"/>
      <c r="H205" s="48"/>
      <c r="I205" s="48"/>
      <c r="J205" s="48"/>
      <c r="K205" s="48"/>
      <c r="L205" s="48"/>
      <c r="M205" s="48"/>
      <c r="N205" s="48"/>
      <c r="O205" s="48"/>
      <c r="P205" s="48"/>
      <c r="Q205" s="48"/>
      <c r="R205" s="48"/>
      <c r="S205" s="48"/>
      <c r="T205" s="48"/>
      <c r="U205" s="48"/>
      <c r="V205" s="48"/>
    </row>
    <row r="206" spans="2:22" s="46" customFormat="1" ht="15" customHeight="1">
      <c r="B206" s="48"/>
      <c r="C206" s="48"/>
      <c r="D206" s="48"/>
      <c r="E206" s="48"/>
      <c r="F206" s="48"/>
      <c r="G206" s="48"/>
      <c r="H206" s="48"/>
      <c r="I206" s="48"/>
      <c r="J206" s="48"/>
      <c r="K206" s="48"/>
      <c r="L206" s="48"/>
      <c r="M206" s="48"/>
      <c r="N206" s="48"/>
      <c r="O206" s="48"/>
      <c r="P206" s="48"/>
      <c r="Q206" s="48"/>
      <c r="R206" s="48"/>
      <c r="S206" s="48"/>
      <c r="T206" s="48"/>
      <c r="U206" s="48"/>
      <c r="V206" s="48"/>
    </row>
    <row r="207" spans="2:22" s="46" customFormat="1" ht="15" customHeight="1">
      <c r="B207" s="48"/>
      <c r="C207" s="48"/>
      <c r="D207" s="48"/>
      <c r="E207" s="48"/>
      <c r="F207" s="48"/>
      <c r="G207" s="48"/>
      <c r="H207" s="48"/>
      <c r="I207" s="48"/>
      <c r="J207" s="48"/>
      <c r="K207" s="48"/>
      <c r="L207" s="48"/>
      <c r="M207" s="48"/>
      <c r="N207" s="48"/>
      <c r="O207" s="48"/>
      <c r="P207" s="48"/>
      <c r="Q207" s="48"/>
      <c r="R207" s="48"/>
      <c r="S207" s="48"/>
      <c r="T207" s="48"/>
      <c r="U207" s="48"/>
      <c r="V207" s="48"/>
    </row>
    <row r="208" spans="2:22" s="46" customFormat="1" ht="15" customHeight="1">
      <c r="B208" s="48"/>
      <c r="C208" s="48"/>
      <c r="D208" s="48"/>
      <c r="E208" s="48"/>
      <c r="F208" s="48"/>
      <c r="G208" s="48"/>
      <c r="H208" s="48"/>
      <c r="I208" s="48"/>
      <c r="J208" s="48"/>
      <c r="K208" s="48"/>
      <c r="L208" s="48"/>
      <c r="M208" s="48"/>
      <c r="N208" s="48"/>
      <c r="O208" s="48"/>
      <c r="P208" s="48"/>
      <c r="Q208" s="48"/>
      <c r="R208" s="48"/>
      <c r="S208" s="48"/>
      <c r="T208" s="48"/>
      <c r="U208" s="48"/>
      <c r="V208" s="48"/>
    </row>
    <row r="209" spans="2:22" s="46" customFormat="1" ht="15" customHeight="1">
      <c r="B209" s="48"/>
      <c r="C209" s="48"/>
      <c r="D209" s="48"/>
      <c r="E209" s="48"/>
      <c r="F209" s="48"/>
      <c r="G209" s="48"/>
      <c r="H209" s="48"/>
      <c r="I209" s="48"/>
      <c r="J209" s="48"/>
      <c r="K209" s="48"/>
      <c r="L209" s="48"/>
      <c r="M209" s="48"/>
      <c r="N209" s="48"/>
      <c r="O209" s="48"/>
      <c r="P209" s="48"/>
      <c r="Q209" s="48"/>
      <c r="R209" s="48"/>
      <c r="S209" s="48"/>
      <c r="T209" s="48"/>
      <c r="U209" s="48"/>
      <c r="V209" s="48"/>
    </row>
    <row r="210" spans="2:22" s="46" customFormat="1" ht="15" customHeight="1">
      <c r="B210" s="48"/>
      <c r="C210" s="48"/>
      <c r="D210" s="48"/>
      <c r="E210" s="48"/>
      <c r="F210" s="48"/>
      <c r="G210" s="48"/>
      <c r="H210" s="48"/>
      <c r="I210" s="48"/>
      <c r="J210" s="48"/>
      <c r="K210" s="48"/>
      <c r="L210" s="48"/>
      <c r="M210" s="48"/>
      <c r="N210" s="48"/>
      <c r="O210" s="48"/>
      <c r="P210" s="48"/>
      <c r="Q210" s="48"/>
      <c r="R210" s="48"/>
      <c r="S210" s="48"/>
      <c r="T210" s="48"/>
      <c r="U210" s="48"/>
      <c r="V210" s="48"/>
    </row>
    <row r="211" spans="2:22" s="46" customFormat="1" ht="15" customHeight="1">
      <c r="B211" s="48"/>
      <c r="C211" s="48"/>
      <c r="D211" s="48"/>
      <c r="E211" s="48"/>
      <c r="F211" s="48"/>
      <c r="G211" s="48"/>
      <c r="H211" s="48"/>
      <c r="I211" s="48"/>
      <c r="J211" s="48"/>
      <c r="K211" s="48"/>
      <c r="L211" s="48"/>
      <c r="M211" s="48"/>
      <c r="N211" s="48"/>
      <c r="O211" s="48"/>
      <c r="P211" s="48"/>
      <c r="Q211" s="48"/>
      <c r="R211" s="48"/>
      <c r="S211" s="48"/>
      <c r="T211" s="48"/>
      <c r="U211" s="48"/>
      <c r="V211" s="48"/>
    </row>
    <row r="212" spans="2:22" s="46" customFormat="1" ht="15" customHeight="1">
      <c r="B212" s="48"/>
      <c r="C212" s="48"/>
      <c r="D212" s="48"/>
      <c r="E212" s="48"/>
      <c r="F212" s="48"/>
      <c r="G212" s="48"/>
      <c r="H212" s="48"/>
      <c r="I212" s="48"/>
      <c r="J212" s="48"/>
      <c r="K212" s="48"/>
      <c r="L212" s="48"/>
      <c r="M212" s="48"/>
      <c r="N212" s="48"/>
      <c r="O212" s="48"/>
      <c r="P212" s="48"/>
      <c r="Q212" s="48"/>
      <c r="R212" s="48"/>
      <c r="S212" s="48"/>
      <c r="T212" s="48"/>
      <c r="U212" s="48"/>
      <c r="V212" s="48"/>
    </row>
    <row r="213" spans="2:22" s="46" customFormat="1" ht="15" customHeight="1">
      <c r="B213" s="48"/>
      <c r="C213" s="48"/>
      <c r="D213" s="48"/>
      <c r="E213" s="48"/>
      <c r="F213" s="48"/>
      <c r="G213" s="48"/>
      <c r="H213" s="48"/>
      <c r="I213" s="48"/>
      <c r="J213" s="48"/>
      <c r="K213" s="48"/>
      <c r="L213" s="48"/>
      <c r="M213" s="48"/>
      <c r="N213" s="48"/>
      <c r="O213" s="48"/>
      <c r="P213" s="48"/>
      <c r="Q213" s="48"/>
      <c r="R213" s="48"/>
      <c r="S213" s="48"/>
      <c r="T213" s="48"/>
      <c r="U213" s="48"/>
      <c r="V213" s="48"/>
    </row>
    <row r="214" spans="2:22" s="46" customFormat="1" ht="15" customHeight="1">
      <c r="B214" s="48"/>
      <c r="C214" s="48"/>
      <c r="D214" s="48"/>
      <c r="E214" s="48"/>
      <c r="F214" s="48"/>
      <c r="G214" s="48"/>
      <c r="H214" s="48"/>
      <c r="I214" s="48"/>
      <c r="J214" s="48"/>
      <c r="K214" s="48"/>
      <c r="L214" s="48"/>
      <c r="M214" s="48"/>
      <c r="N214" s="48"/>
      <c r="O214" s="48"/>
      <c r="P214" s="48"/>
      <c r="Q214" s="48"/>
      <c r="R214" s="48"/>
      <c r="S214" s="48"/>
      <c r="T214" s="48"/>
      <c r="U214" s="48"/>
      <c r="V214" s="48"/>
    </row>
    <row r="215" spans="2:22" s="46" customFormat="1" ht="15" customHeight="1">
      <c r="B215" s="48"/>
      <c r="C215" s="48"/>
      <c r="D215" s="48"/>
      <c r="E215" s="48"/>
      <c r="F215" s="48"/>
      <c r="G215" s="48"/>
      <c r="H215" s="48"/>
      <c r="I215" s="48"/>
      <c r="J215" s="48"/>
      <c r="K215" s="48"/>
      <c r="L215" s="48"/>
      <c r="M215" s="48"/>
      <c r="N215" s="48"/>
      <c r="O215" s="48"/>
      <c r="P215" s="48"/>
      <c r="Q215" s="48"/>
      <c r="R215" s="48"/>
      <c r="S215" s="48"/>
      <c r="T215" s="48"/>
      <c r="U215" s="48"/>
      <c r="V215" s="48"/>
    </row>
    <row r="216" spans="2:22" s="46" customFormat="1" ht="15" customHeight="1">
      <c r="B216" s="48"/>
      <c r="C216" s="48"/>
      <c r="D216" s="48"/>
      <c r="E216" s="48"/>
      <c r="F216" s="48"/>
      <c r="G216" s="48"/>
      <c r="H216" s="48"/>
      <c r="I216" s="48"/>
      <c r="J216" s="48"/>
      <c r="K216" s="48"/>
      <c r="L216" s="48"/>
      <c r="M216" s="48"/>
      <c r="N216" s="48"/>
      <c r="O216" s="48"/>
      <c r="P216" s="48"/>
      <c r="Q216" s="48"/>
      <c r="R216" s="48"/>
      <c r="S216" s="48"/>
      <c r="T216" s="48"/>
      <c r="U216" s="48"/>
      <c r="V216" s="48"/>
    </row>
    <row r="217" spans="2:22" s="46" customFormat="1" ht="15" customHeight="1">
      <c r="B217" s="48"/>
      <c r="C217" s="48"/>
      <c r="D217" s="48"/>
      <c r="E217" s="48"/>
      <c r="F217" s="48"/>
      <c r="G217" s="48"/>
      <c r="H217" s="48"/>
      <c r="I217" s="48"/>
      <c r="J217" s="48"/>
      <c r="K217" s="48"/>
      <c r="L217" s="48"/>
      <c r="M217" s="48"/>
      <c r="N217" s="48"/>
      <c r="O217" s="48"/>
      <c r="P217" s="48"/>
      <c r="Q217" s="48"/>
      <c r="R217" s="48"/>
      <c r="S217" s="48"/>
      <c r="T217" s="48"/>
      <c r="U217" s="48"/>
      <c r="V217" s="48"/>
    </row>
    <row r="218" spans="2:22" s="46" customFormat="1" ht="15" customHeight="1">
      <c r="B218" s="48"/>
      <c r="C218" s="48"/>
      <c r="D218" s="48"/>
      <c r="E218" s="48"/>
      <c r="F218" s="48"/>
      <c r="G218" s="48"/>
      <c r="H218" s="48"/>
      <c r="I218" s="48"/>
      <c r="J218" s="48"/>
      <c r="K218" s="48"/>
      <c r="L218" s="48"/>
      <c r="M218" s="48"/>
      <c r="N218" s="48"/>
      <c r="O218" s="48"/>
      <c r="P218" s="48"/>
      <c r="Q218" s="48"/>
      <c r="R218" s="48"/>
      <c r="S218" s="48"/>
      <c r="T218" s="48"/>
      <c r="U218" s="48"/>
      <c r="V218" s="48"/>
    </row>
    <row r="219" spans="2:22" s="46" customFormat="1" ht="15" customHeight="1">
      <c r="B219" s="48"/>
      <c r="C219" s="48"/>
      <c r="D219" s="48"/>
      <c r="E219" s="48"/>
      <c r="F219" s="48"/>
      <c r="G219" s="48"/>
      <c r="H219" s="48"/>
      <c r="I219" s="48"/>
      <c r="J219" s="48"/>
      <c r="K219" s="48"/>
      <c r="L219" s="48"/>
      <c r="M219" s="48"/>
      <c r="N219" s="48"/>
      <c r="O219" s="48"/>
      <c r="P219" s="48"/>
      <c r="Q219" s="48"/>
      <c r="R219" s="48"/>
      <c r="S219" s="48"/>
      <c r="T219" s="48"/>
      <c r="U219" s="48"/>
      <c r="V219" s="48"/>
    </row>
    <row r="220" spans="2:22" s="46" customFormat="1" ht="15" customHeight="1">
      <c r="B220" s="48"/>
      <c r="C220" s="48"/>
      <c r="D220" s="48"/>
      <c r="E220" s="48"/>
      <c r="F220" s="48"/>
      <c r="G220" s="48"/>
      <c r="H220" s="48"/>
      <c r="I220" s="48"/>
      <c r="J220" s="48"/>
      <c r="K220" s="48"/>
      <c r="L220" s="48"/>
      <c r="M220" s="48"/>
      <c r="N220" s="48"/>
      <c r="O220" s="48"/>
      <c r="P220" s="48"/>
      <c r="Q220" s="48"/>
      <c r="R220" s="48"/>
      <c r="S220" s="48"/>
      <c r="T220" s="48"/>
      <c r="U220" s="48"/>
      <c r="V220" s="48"/>
    </row>
    <row r="221" spans="2:22" s="46" customFormat="1" ht="15" customHeight="1">
      <c r="B221" s="48"/>
      <c r="C221" s="48"/>
      <c r="D221" s="48"/>
      <c r="E221" s="48"/>
      <c r="F221" s="48"/>
      <c r="G221" s="48"/>
      <c r="H221" s="48"/>
      <c r="I221" s="48"/>
      <c r="J221" s="48"/>
      <c r="K221" s="48"/>
      <c r="L221" s="48"/>
      <c r="M221" s="48"/>
      <c r="N221" s="48"/>
      <c r="O221" s="48"/>
      <c r="P221" s="48"/>
      <c r="Q221" s="48"/>
      <c r="R221" s="48"/>
      <c r="S221" s="48"/>
      <c r="T221" s="48"/>
      <c r="U221" s="48"/>
      <c r="V221" s="48"/>
    </row>
    <row r="222" spans="2:22" s="46" customFormat="1" ht="15" customHeight="1">
      <c r="B222" s="48"/>
      <c r="C222" s="48"/>
      <c r="D222" s="48"/>
      <c r="E222" s="48"/>
      <c r="F222" s="48"/>
      <c r="G222" s="48"/>
      <c r="H222" s="48"/>
      <c r="I222" s="48"/>
      <c r="J222" s="48"/>
      <c r="K222" s="48"/>
      <c r="L222" s="48"/>
      <c r="M222" s="48"/>
      <c r="N222" s="48"/>
      <c r="O222" s="48"/>
      <c r="P222" s="48"/>
      <c r="Q222" s="48"/>
      <c r="R222" s="48"/>
      <c r="S222" s="48"/>
      <c r="T222" s="48"/>
      <c r="U222" s="48"/>
      <c r="V222" s="48"/>
    </row>
    <row r="223" spans="2:22" s="46" customFormat="1" ht="15" customHeight="1">
      <c r="B223" s="48"/>
      <c r="C223" s="48"/>
      <c r="D223" s="48"/>
      <c r="E223" s="48"/>
      <c r="F223" s="48"/>
      <c r="G223" s="48"/>
      <c r="H223" s="48"/>
      <c r="I223" s="48"/>
      <c r="J223" s="48"/>
      <c r="K223" s="48"/>
      <c r="L223" s="48"/>
      <c r="M223" s="48"/>
      <c r="N223" s="48"/>
      <c r="O223" s="48"/>
      <c r="P223" s="48"/>
      <c r="Q223" s="48"/>
      <c r="R223" s="48"/>
      <c r="S223" s="48"/>
      <c r="T223" s="48"/>
      <c r="U223" s="48"/>
      <c r="V223" s="48"/>
    </row>
    <row r="224" spans="2:22" s="46" customFormat="1" ht="15" customHeight="1">
      <c r="B224" s="48"/>
      <c r="C224" s="48"/>
      <c r="D224" s="48"/>
      <c r="E224" s="48"/>
      <c r="F224" s="48"/>
      <c r="G224" s="48"/>
      <c r="H224" s="48"/>
      <c r="I224" s="48"/>
      <c r="J224" s="48"/>
      <c r="K224" s="48"/>
      <c r="L224" s="48"/>
      <c r="M224" s="48"/>
      <c r="N224" s="48"/>
      <c r="O224" s="48"/>
      <c r="P224" s="48"/>
      <c r="Q224" s="48"/>
      <c r="R224" s="48"/>
      <c r="S224" s="48"/>
      <c r="T224" s="48"/>
      <c r="U224" s="48"/>
      <c r="V224" s="48"/>
    </row>
    <row r="225" spans="2:22" s="46" customFormat="1" ht="15" customHeight="1">
      <c r="B225" s="48"/>
      <c r="C225" s="48"/>
      <c r="D225" s="48"/>
      <c r="E225" s="48"/>
      <c r="F225" s="48"/>
      <c r="G225" s="48"/>
      <c r="H225" s="48"/>
      <c r="I225" s="48"/>
      <c r="J225" s="48"/>
      <c r="K225" s="48"/>
      <c r="L225" s="48"/>
      <c r="M225" s="48"/>
      <c r="N225" s="48"/>
      <c r="O225" s="48"/>
      <c r="P225" s="48"/>
      <c r="Q225" s="48"/>
      <c r="R225" s="48"/>
      <c r="S225" s="48"/>
      <c r="T225" s="48"/>
      <c r="U225" s="48"/>
      <c r="V225" s="48"/>
    </row>
    <row r="226" spans="2:22" s="46" customFormat="1" ht="15" customHeight="1">
      <c r="B226" s="48"/>
      <c r="C226" s="48"/>
      <c r="D226" s="48"/>
      <c r="E226" s="48"/>
      <c r="F226" s="48"/>
      <c r="G226" s="48"/>
      <c r="H226" s="48"/>
      <c r="I226" s="48"/>
      <c r="J226" s="48"/>
      <c r="K226" s="48"/>
      <c r="L226" s="48"/>
      <c r="M226" s="48"/>
      <c r="N226" s="48"/>
      <c r="O226" s="48"/>
      <c r="P226" s="48"/>
      <c r="Q226" s="48"/>
      <c r="R226" s="48"/>
      <c r="S226" s="48"/>
      <c r="T226" s="48"/>
      <c r="U226" s="48"/>
      <c r="V226" s="48"/>
    </row>
    <row r="227" spans="2:22" s="46" customFormat="1" ht="15" customHeight="1">
      <c r="B227" s="48"/>
      <c r="C227" s="48"/>
      <c r="D227" s="48"/>
      <c r="E227" s="48"/>
      <c r="F227" s="48"/>
      <c r="G227" s="48"/>
      <c r="H227" s="48"/>
      <c r="I227" s="48"/>
      <c r="J227" s="48"/>
      <c r="K227" s="48"/>
      <c r="L227" s="48"/>
      <c r="M227" s="48"/>
      <c r="N227" s="48"/>
      <c r="O227" s="48"/>
      <c r="P227" s="48"/>
      <c r="Q227" s="48"/>
      <c r="R227" s="48"/>
      <c r="S227" s="48"/>
      <c r="T227" s="48"/>
      <c r="U227" s="48"/>
      <c r="V227" s="48"/>
    </row>
    <row r="228" spans="2:22" s="46" customFormat="1" ht="15" customHeight="1">
      <c r="B228" s="48"/>
      <c r="C228" s="48"/>
      <c r="D228" s="48"/>
      <c r="E228" s="48"/>
      <c r="F228" s="48"/>
      <c r="G228" s="48"/>
      <c r="H228" s="48"/>
      <c r="I228" s="48"/>
      <c r="J228" s="48"/>
      <c r="K228" s="48"/>
      <c r="L228" s="48"/>
      <c r="M228" s="48"/>
      <c r="N228" s="48"/>
      <c r="O228" s="48"/>
      <c r="P228" s="48"/>
      <c r="Q228" s="48"/>
      <c r="R228" s="48"/>
      <c r="S228" s="48"/>
      <c r="T228" s="48"/>
      <c r="U228" s="48"/>
      <c r="V228" s="48"/>
    </row>
    <row r="229" spans="2:22" s="46" customFormat="1" ht="15" customHeight="1">
      <c r="B229" s="48"/>
      <c r="C229" s="48"/>
      <c r="D229" s="48"/>
      <c r="E229" s="48"/>
      <c r="F229" s="48"/>
      <c r="G229" s="48"/>
      <c r="H229" s="48"/>
      <c r="I229" s="48"/>
      <c r="J229" s="48"/>
      <c r="K229" s="48"/>
      <c r="L229" s="48"/>
      <c r="M229" s="48"/>
      <c r="N229" s="48"/>
      <c r="O229" s="48"/>
      <c r="P229" s="48"/>
      <c r="Q229" s="48"/>
      <c r="R229" s="48"/>
      <c r="S229" s="48"/>
      <c r="T229" s="48"/>
      <c r="U229" s="48"/>
      <c r="V229" s="48"/>
    </row>
    <row r="230" spans="2:22" s="46" customFormat="1" ht="15" customHeight="1">
      <c r="B230" s="48"/>
      <c r="C230" s="48"/>
      <c r="D230" s="48"/>
      <c r="E230" s="48"/>
      <c r="F230" s="48"/>
      <c r="G230" s="48"/>
      <c r="H230" s="48"/>
      <c r="I230" s="48"/>
      <c r="J230" s="48"/>
      <c r="K230" s="48"/>
      <c r="L230" s="48"/>
      <c r="M230" s="48"/>
      <c r="N230" s="48"/>
      <c r="O230" s="48"/>
      <c r="P230" s="48"/>
      <c r="Q230" s="48"/>
      <c r="R230" s="48"/>
      <c r="S230" s="48"/>
      <c r="T230" s="48"/>
      <c r="U230" s="48"/>
      <c r="V230" s="48"/>
    </row>
    <row r="231" spans="2:22" s="46" customFormat="1" ht="15" customHeight="1">
      <c r="B231" s="48"/>
      <c r="C231" s="48"/>
      <c r="D231" s="48"/>
      <c r="E231" s="48"/>
      <c r="F231" s="48"/>
      <c r="G231" s="48"/>
      <c r="H231" s="48"/>
      <c r="I231" s="48"/>
      <c r="J231" s="48"/>
      <c r="K231" s="48"/>
      <c r="L231" s="48"/>
      <c r="M231" s="48"/>
      <c r="N231" s="48"/>
      <c r="O231" s="48"/>
      <c r="P231" s="48"/>
      <c r="Q231" s="48"/>
      <c r="R231" s="48"/>
      <c r="S231" s="48"/>
      <c r="T231" s="48"/>
      <c r="U231" s="48"/>
      <c r="V231" s="48"/>
    </row>
    <row r="232" spans="2:22" s="46" customFormat="1" ht="15" customHeight="1">
      <c r="B232" s="48"/>
      <c r="C232" s="48"/>
      <c r="D232" s="48"/>
      <c r="E232" s="48"/>
      <c r="F232" s="48"/>
      <c r="G232" s="48"/>
      <c r="H232" s="48"/>
      <c r="I232" s="48"/>
      <c r="J232" s="48"/>
      <c r="K232" s="48"/>
      <c r="L232" s="48"/>
      <c r="M232" s="48"/>
      <c r="N232" s="48"/>
      <c r="O232" s="48"/>
      <c r="P232" s="48"/>
      <c r="Q232" s="48"/>
      <c r="R232" s="48"/>
      <c r="S232" s="48"/>
      <c r="T232" s="48"/>
      <c r="U232" s="48"/>
      <c r="V232" s="48"/>
    </row>
    <row r="233" spans="2:22" s="46" customFormat="1" ht="15" customHeight="1">
      <c r="B233" s="48"/>
      <c r="C233" s="48"/>
      <c r="D233" s="48"/>
      <c r="E233" s="48"/>
      <c r="F233" s="48"/>
      <c r="G233" s="48"/>
      <c r="H233" s="48"/>
      <c r="I233" s="48"/>
      <c r="J233" s="48"/>
      <c r="K233" s="48"/>
      <c r="L233" s="48"/>
      <c r="M233" s="48"/>
      <c r="N233" s="48"/>
      <c r="O233" s="48"/>
      <c r="P233" s="48"/>
      <c r="Q233" s="48"/>
      <c r="R233" s="48"/>
      <c r="S233" s="48"/>
      <c r="T233" s="48"/>
      <c r="U233" s="48"/>
      <c r="V233" s="48"/>
    </row>
    <row r="234" spans="2:22" s="46" customFormat="1" ht="15" customHeight="1">
      <c r="B234" s="48"/>
      <c r="C234" s="48"/>
      <c r="D234" s="48"/>
      <c r="E234" s="48"/>
      <c r="F234" s="48"/>
      <c r="G234" s="48"/>
      <c r="H234" s="48"/>
      <c r="I234" s="48"/>
      <c r="J234" s="48"/>
      <c r="K234" s="48"/>
      <c r="L234" s="48"/>
      <c r="M234" s="48"/>
      <c r="N234" s="48"/>
      <c r="O234" s="48"/>
      <c r="P234" s="48"/>
      <c r="Q234" s="48"/>
      <c r="R234" s="48"/>
      <c r="S234" s="48"/>
      <c r="T234" s="48"/>
      <c r="U234" s="48"/>
      <c r="V234" s="48"/>
    </row>
    <row r="235" spans="2:22" s="46" customFormat="1" ht="15" customHeight="1">
      <c r="B235" s="48"/>
      <c r="C235" s="48"/>
      <c r="D235" s="48"/>
      <c r="E235" s="48"/>
      <c r="F235" s="48"/>
      <c r="G235" s="48"/>
      <c r="H235" s="48"/>
      <c r="I235" s="48"/>
      <c r="J235" s="48"/>
      <c r="K235" s="48"/>
      <c r="L235" s="48"/>
      <c r="M235" s="48"/>
      <c r="N235" s="48"/>
      <c r="O235" s="48"/>
      <c r="P235" s="48"/>
      <c r="Q235" s="48"/>
      <c r="R235" s="48"/>
      <c r="S235" s="48"/>
      <c r="T235" s="48"/>
      <c r="U235" s="48"/>
      <c r="V235" s="48"/>
    </row>
    <row r="236" spans="2:22" s="46" customFormat="1" ht="15" customHeight="1">
      <c r="B236" s="48"/>
      <c r="C236" s="48"/>
      <c r="D236" s="48"/>
      <c r="E236" s="48"/>
      <c r="F236" s="48"/>
      <c r="G236" s="48"/>
      <c r="H236" s="48"/>
      <c r="I236" s="48"/>
      <c r="J236" s="48"/>
      <c r="K236" s="48"/>
      <c r="L236" s="48"/>
      <c r="M236" s="48"/>
      <c r="N236" s="48"/>
      <c r="O236" s="48"/>
      <c r="P236" s="48"/>
      <c r="Q236" s="48"/>
      <c r="R236" s="48"/>
      <c r="S236" s="48"/>
      <c r="T236" s="48"/>
      <c r="U236" s="48"/>
      <c r="V236" s="48"/>
    </row>
    <row r="237" spans="2:22" s="46" customFormat="1" ht="15" customHeight="1">
      <c r="B237" s="48"/>
      <c r="C237" s="48"/>
      <c r="D237" s="48"/>
      <c r="E237" s="48"/>
      <c r="F237" s="48"/>
      <c r="G237" s="48"/>
      <c r="H237" s="48"/>
      <c r="I237" s="48"/>
      <c r="J237" s="48"/>
      <c r="K237" s="48"/>
      <c r="L237" s="48"/>
      <c r="M237" s="48"/>
      <c r="N237" s="48"/>
      <c r="O237" s="48"/>
      <c r="P237" s="48"/>
      <c r="Q237" s="48"/>
      <c r="R237" s="48"/>
      <c r="S237" s="48"/>
      <c r="T237" s="48"/>
      <c r="U237" s="48"/>
      <c r="V237" s="48"/>
    </row>
    <row r="238" spans="2:22" s="46" customFormat="1" ht="15" customHeight="1">
      <c r="B238" s="48"/>
      <c r="C238" s="48"/>
      <c r="D238" s="48"/>
      <c r="E238" s="48"/>
      <c r="F238" s="48"/>
      <c r="G238" s="48"/>
      <c r="H238" s="48"/>
      <c r="I238" s="48"/>
      <c r="J238" s="48"/>
      <c r="K238" s="48"/>
      <c r="L238" s="48"/>
      <c r="M238" s="48"/>
      <c r="N238" s="48"/>
      <c r="O238" s="48"/>
      <c r="P238" s="48"/>
      <c r="Q238" s="48"/>
      <c r="R238" s="48"/>
      <c r="S238" s="48"/>
      <c r="T238" s="48"/>
      <c r="U238" s="48"/>
      <c r="V238" s="48"/>
    </row>
    <row r="239" spans="2:22" s="46" customFormat="1" ht="15" customHeight="1">
      <c r="B239" s="48"/>
      <c r="C239" s="48"/>
      <c r="D239" s="48"/>
      <c r="E239" s="48"/>
      <c r="F239" s="48"/>
      <c r="G239" s="48"/>
      <c r="H239" s="48"/>
      <c r="I239" s="48"/>
      <c r="J239" s="48"/>
      <c r="K239" s="48"/>
      <c r="L239" s="48"/>
      <c r="M239" s="48"/>
      <c r="N239" s="48"/>
      <c r="O239" s="48"/>
      <c r="P239" s="48"/>
      <c r="Q239" s="48"/>
      <c r="R239" s="48"/>
      <c r="S239" s="48"/>
      <c r="T239" s="48"/>
      <c r="U239" s="48"/>
      <c r="V239" s="48"/>
    </row>
    <row r="240" spans="2:22" s="46" customFormat="1" ht="15" customHeight="1">
      <c r="B240" s="48"/>
      <c r="C240" s="48"/>
      <c r="D240" s="48"/>
      <c r="E240" s="48"/>
      <c r="F240" s="48"/>
      <c r="G240" s="48"/>
      <c r="H240" s="48"/>
      <c r="I240" s="48"/>
      <c r="J240" s="48"/>
      <c r="K240" s="48"/>
      <c r="L240" s="48"/>
      <c r="M240" s="48"/>
      <c r="N240" s="48"/>
      <c r="O240" s="48"/>
      <c r="P240" s="48"/>
      <c r="Q240" s="48"/>
      <c r="R240" s="48"/>
      <c r="S240" s="48"/>
      <c r="T240" s="48"/>
      <c r="U240" s="48"/>
      <c r="V240" s="48"/>
    </row>
    <row r="241" spans="2:22" s="46" customFormat="1" ht="15" customHeight="1">
      <c r="B241" s="48"/>
      <c r="C241" s="48"/>
      <c r="D241" s="48"/>
      <c r="E241" s="48"/>
      <c r="F241" s="48"/>
      <c r="G241" s="48"/>
      <c r="H241" s="48"/>
      <c r="I241" s="48"/>
      <c r="J241" s="48"/>
      <c r="K241" s="48"/>
      <c r="L241" s="48"/>
      <c r="M241" s="48"/>
      <c r="N241" s="48"/>
      <c r="O241" s="48"/>
      <c r="P241" s="48"/>
      <c r="Q241" s="48"/>
      <c r="R241" s="48"/>
      <c r="S241" s="48"/>
      <c r="T241" s="48"/>
      <c r="U241" s="48"/>
      <c r="V241" s="48"/>
    </row>
    <row r="242" spans="2:22" s="46" customFormat="1" ht="15" customHeight="1">
      <c r="B242" s="48"/>
      <c r="C242" s="48"/>
      <c r="D242" s="48"/>
      <c r="E242" s="48"/>
      <c r="F242" s="48"/>
      <c r="G242" s="48"/>
      <c r="H242" s="48"/>
      <c r="I242" s="48"/>
      <c r="J242" s="48"/>
      <c r="K242" s="48"/>
      <c r="L242" s="48"/>
      <c r="M242" s="48"/>
      <c r="N242" s="48"/>
      <c r="O242" s="48"/>
      <c r="P242" s="48"/>
      <c r="Q242" s="48"/>
      <c r="R242" s="48"/>
      <c r="S242" s="48"/>
      <c r="T242" s="48"/>
      <c r="U242" s="48"/>
      <c r="V242" s="48"/>
    </row>
    <row r="243" spans="2:22" s="46" customFormat="1" ht="15" customHeight="1">
      <c r="B243" s="48"/>
      <c r="C243" s="48"/>
      <c r="D243" s="48"/>
      <c r="E243" s="48"/>
      <c r="F243" s="48"/>
      <c r="G243" s="48"/>
      <c r="H243" s="48"/>
      <c r="I243" s="48"/>
      <c r="J243" s="48"/>
      <c r="K243" s="48"/>
      <c r="L243" s="48"/>
      <c r="M243" s="48"/>
      <c r="N243" s="48"/>
      <c r="O243" s="48"/>
      <c r="P243" s="48"/>
      <c r="Q243" s="48"/>
      <c r="R243" s="48"/>
      <c r="S243" s="48"/>
      <c r="T243" s="48"/>
      <c r="U243" s="48"/>
      <c r="V243" s="48"/>
    </row>
    <row r="244" spans="2:22" s="46" customFormat="1" ht="15" customHeight="1">
      <c r="B244" s="48"/>
      <c r="C244" s="48"/>
      <c r="D244" s="48"/>
      <c r="E244" s="48"/>
      <c r="F244" s="48"/>
      <c r="G244" s="48"/>
      <c r="H244" s="48"/>
      <c r="I244" s="48"/>
      <c r="J244" s="48"/>
      <c r="K244" s="48"/>
      <c r="L244" s="48"/>
      <c r="M244" s="48"/>
      <c r="N244" s="48"/>
      <c r="O244" s="48"/>
      <c r="P244" s="48"/>
      <c r="Q244" s="48"/>
      <c r="R244" s="48"/>
      <c r="S244" s="48"/>
      <c r="T244" s="48"/>
      <c r="U244" s="48"/>
      <c r="V244" s="48"/>
    </row>
    <row r="245" spans="2:22" s="46" customFormat="1" ht="15" customHeight="1">
      <c r="B245" s="48"/>
      <c r="C245" s="48"/>
      <c r="D245" s="48"/>
      <c r="E245" s="48"/>
      <c r="F245" s="48"/>
      <c r="G245" s="48"/>
      <c r="H245" s="48"/>
      <c r="I245" s="48"/>
      <c r="J245" s="48"/>
      <c r="K245" s="48"/>
      <c r="L245" s="48"/>
      <c r="M245" s="48"/>
      <c r="N245" s="48"/>
      <c r="O245" s="48"/>
      <c r="P245" s="48"/>
      <c r="Q245" s="48"/>
      <c r="R245" s="48"/>
      <c r="S245" s="48"/>
      <c r="T245" s="48"/>
      <c r="U245" s="48"/>
      <c r="V245" s="48"/>
    </row>
    <row r="246" spans="2:22" s="46" customFormat="1" ht="15" customHeight="1">
      <c r="B246" s="48"/>
      <c r="C246" s="48"/>
      <c r="D246" s="48"/>
      <c r="E246" s="48"/>
      <c r="F246" s="48"/>
      <c r="G246" s="48"/>
      <c r="H246" s="48"/>
      <c r="I246" s="48"/>
      <c r="J246" s="48"/>
      <c r="K246" s="48"/>
      <c r="L246" s="48"/>
      <c r="M246" s="48"/>
      <c r="N246" s="48"/>
      <c r="O246" s="48"/>
      <c r="P246" s="48"/>
      <c r="Q246" s="48"/>
      <c r="R246" s="48"/>
      <c r="S246" s="48"/>
      <c r="T246" s="48"/>
      <c r="U246" s="48"/>
      <c r="V246" s="48"/>
    </row>
    <row r="247" spans="2:22" s="46" customFormat="1" ht="15" customHeight="1">
      <c r="B247" s="48"/>
      <c r="C247" s="48"/>
      <c r="D247" s="48"/>
      <c r="E247" s="48"/>
      <c r="F247" s="48"/>
      <c r="G247" s="48"/>
      <c r="H247" s="48"/>
      <c r="I247" s="48"/>
      <c r="J247" s="48"/>
      <c r="K247" s="48"/>
      <c r="L247" s="48"/>
      <c r="M247" s="48"/>
      <c r="N247" s="48"/>
      <c r="O247" s="48"/>
      <c r="P247" s="48"/>
      <c r="Q247" s="48"/>
      <c r="R247" s="48"/>
      <c r="S247" s="48"/>
      <c r="T247" s="48"/>
      <c r="U247" s="48"/>
      <c r="V247" s="48"/>
    </row>
    <row r="248" spans="2:22" s="46" customFormat="1" ht="15" customHeight="1">
      <c r="B248" s="48"/>
      <c r="C248" s="48"/>
      <c r="D248" s="48"/>
      <c r="E248" s="48"/>
      <c r="F248" s="48"/>
      <c r="G248" s="48"/>
      <c r="H248" s="48"/>
      <c r="I248" s="48"/>
      <c r="J248" s="48"/>
      <c r="K248" s="48"/>
      <c r="L248" s="48"/>
      <c r="M248" s="48"/>
      <c r="N248" s="48"/>
      <c r="O248" s="48"/>
      <c r="P248" s="48"/>
      <c r="Q248" s="48"/>
      <c r="R248" s="48"/>
      <c r="S248" s="48"/>
      <c r="T248" s="48"/>
      <c r="U248" s="48"/>
      <c r="V248" s="48"/>
    </row>
    <row r="249" spans="2:22" s="46" customFormat="1" ht="15" customHeight="1">
      <c r="B249" s="48"/>
      <c r="C249" s="48"/>
      <c r="D249" s="48"/>
      <c r="E249" s="48"/>
      <c r="F249" s="48"/>
      <c r="G249" s="48"/>
      <c r="H249" s="48"/>
      <c r="I249" s="48"/>
      <c r="J249" s="48"/>
      <c r="K249" s="48"/>
      <c r="L249" s="48"/>
      <c r="M249" s="48"/>
      <c r="N249" s="48"/>
      <c r="O249" s="48"/>
      <c r="P249" s="48"/>
      <c r="Q249" s="48"/>
      <c r="R249" s="48"/>
      <c r="S249" s="48"/>
      <c r="T249" s="48"/>
      <c r="U249" s="48"/>
      <c r="V249" s="48"/>
    </row>
    <row r="250" spans="2:22" s="46" customFormat="1" ht="15" customHeight="1">
      <c r="B250" s="48"/>
      <c r="C250" s="48"/>
      <c r="D250" s="48"/>
      <c r="E250" s="48"/>
      <c r="F250" s="48"/>
      <c r="G250" s="48"/>
      <c r="H250" s="48"/>
      <c r="I250" s="48"/>
      <c r="J250" s="48"/>
      <c r="K250" s="48"/>
      <c r="L250" s="48"/>
      <c r="M250" s="48"/>
      <c r="N250" s="48"/>
      <c r="O250" s="48"/>
      <c r="P250" s="48"/>
      <c r="Q250" s="48"/>
      <c r="R250" s="48"/>
      <c r="S250" s="48"/>
      <c r="T250" s="48"/>
      <c r="U250" s="48"/>
      <c r="V250" s="48"/>
    </row>
    <row r="251" spans="2:22" s="46" customFormat="1" ht="15" customHeight="1">
      <c r="B251" s="48"/>
      <c r="C251" s="48"/>
      <c r="D251" s="48"/>
      <c r="E251" s="48"/>
      <c r="F251" s="48"/>
      <c r="G251" s="48"/>
      <c r="H251" s="48"/>
      <c r="I251" s="48"/>
      <c r="J251" s="48"/>
      <c r="K251" s="48"/>
      <c r="L251" s="48"/>
      <c r="M251" s="48"/>
      <c r="N251" s="48"/>
      <c r="O251" s="48"/>
      <c r="P251" s="48"/>
      <c r="Q251" s="48"/>
      <c r="R251" s="48"/>
      <c r="S251" s="48"/>
      <c r="T251" s="48"/>
      <c r="U251" s="48"/>
      <c r="V251" s="48"/>
    </row>
    <row r="252" spans="2:22" s="46" customFormat="1" ht="15" customHeight="1">
      <c r="B252" s="48"/>
      <c r="C252" s="48"/>
      <c r="D252" s="48"/>
      <c r="E252" s="48"/>
      <c r="F252" s="48"/>
      <c r="G252" s="48"/>
      <c r="H252" s="48"/>
      <c r="I252" s="48"/>
      <c r="J252" s="48"/>
      <c r="K252" s="48"/>
      <c r="L252" s="48"/>
      <c r="M252" s="48"/>
      <c r="N252" s="48"/>
      <c r="O252" s="48"/>
      <c r="P252" s="48"/>
      <c r="Q252" s="48"/>
      <c r="R252" s="48"/>
      <c r="S252" s="48"/>
      <c r="T252" s="48"/>
      <c r="U252" s="48"/>
      <c r="V252" s="48"/>
    </row>
    <row r="253" spans="2:22" s="46" customFormat="1" ht="15" customHeight="1">
      <c r="B253" s="48"/>
      <c r="C253" s="48"/>
      <c r="D253" s="48"/>
      <c r="E253" s="48"/>
      <c r="F253" s="48"/>
      <c r="G253" s="48"/>
      <c r="H253" s="48"/>
      <c r="I253" s="48"/>
      <c r="J253" s="48"/>
      <c r="K253" s="48"/>
      <c r="L253" s="48"/>
      <c r="M253" s="48"/>
      <c r="N253" s="48"/>
      <c r="O253" s="48"/>
      <c r="P253" s="48"/>
      <c r="Q253" s="48"/>
      <c r="R253" s="48"/>
      <c r="S253" s="48"/>
      <c r="T253" s="48"/>
      <c r="U253" s="48"/>
      <c r="V253" s="48"/>
    </row>
    <row r="254" spans="2:22" s="46" customFormat="1" ht="15" customHeight="1">
      <c r="B254" s="48"/>
      <c r="C254" s="48"/>
      <c r="D254" s="48"/>
      <c r="E254" s="48"/>
      <c r="F254" s="48"/>
      <c r="G254" s="48"/>
      <c r="H254" s="48"/>
      <c r="I254" s="48"/>
      <c r="J254" s="48"/>
      <c r="K254" s="48"/>
      <c r="L254" s="48"/>
      <c r="M254" s="48"/>
      <c r="N254" s="48"/>
      <c r="O254" s="48"/>
      <c r="P254" s="48"/>
      <c r="Q254" s="48"/>
      <c r="R254" s="48"/>
      <c r="S254" s="48"/>
      <c r="T254" s="48"/>
      <c r="U254" s="48"/>
      <c r="V254" s="48"/>
    </row>
    <row r="255" spans="2:22" s="46" customFormat="1" ht="15" customHeight="1">
      <c r="B255" s="48"/>
      <c r="C255" s="48"/>
      <c r="D255" s="48"/>
      <c r="E255" s="48"/>
      <c r="F255" s="48"/>
      <c r="G255" s="48"/>
      <c r="H255" s="48"/>
      <c r="I255" s="48"/>
      <c r="J255" s="48"/>
      <c r="K255" s="48"/>
      <c r="L255" s="48"/>
      <c r="M255" s="48"/>
      <c r="N255" s="48"/>
      <c r="O255" s="48"/>
      <c r="P255" s="48"/>
      <c r="Q255" s="48"/>
      <c r="R255" s="48"/>
      <c r="S255" s="48"/>
      <c r="T255" s="48"/>
      <c r="U255" s="48"/>
      <c r="V255" s="48"/>
    </row>
    <row r="256" spans="2:22" s="46" customFormat="1" ht="15" customHeight="1">
      <c r="B256" s="48"/>
      <c r="C256" s="48"/>
      <c r="D256" s="48"/>
      <c r="E256" s="48"/>
      <c r="F256" s="48"/>
      <c r="G256" s="48"/>
      <c r="H256" s="48"/>
      <c r="I256" s="48"/>
      <c r="J256" s="48"/>
      <c r="K256" s="48"/>
      <c r="L256" s="48"/>
      <c r="M256" s="48"/>
      <c r="N256" s="48"/>
      <c r="O256" s="48"/>
      <c r="P256" s="48"/>
      <c r="Q256" s="48"/>
      <c r="R256" s="48"/>
      <c r="S256" s="48"/>
      <c r="T256" s="48"/>
      <c r="U256" s="48"/>
      <c r="V256" s="48"/>
    </row>
    <row r="257" spans="2:22" s="46" customFormat="1" ht="15" customHeight="1">
      <c r="B257" s="48"/>
      <c r="C257" s="48"/>
      <c r="D257" s="48"/>
      <c r="E257" s="48"/>
      <c r="F257" s="48"/>
      <c r="G257" s="48"/>
      <c r="H257" s="48"/>
      <c r="I257" s="48"/>
      <c r="J257" s="48"/>
      <c r="K257" s="48"/>
      <c r="L257" s="48"/>
      <c r="M257" s="48"/>
      <c r="N257" s="48"/>
      <c r="O257" s="48"/>
      <c r="P257" s="48"/>
      <c r="Q257" s="48"/>
      <c r="R257" s="48"/>
      <c r="S257" s="48"/>
      <c r="T257" s="48"/>
      <c r="U257" s="48"/>
      <c r="V257" s="48"/>
    </row>
    <row r="258" spans="2:22" s="46" customFormat="1" ht="15" customHeight="1">
      <c r="B258" s="48"/>
      <c r="C258" s="48"/>
      <c r="D258" s="48"/>
      <c r="E258" s="48"/>
      <c r="F258" s="48"/>
      <c r="G258" s="48"/>
      <c r="H258" s="48"/>
      <c r="I258" s="48"/>
      <c r="J258" s="48"/>
      <c r="K258" s="48"/>
      <c r="L258" s="48"/>
      <c r="M258" s="48"/>
      <c r="N258" s="48"/>
      <c r="O258" s="48"/>
      <c r="P258" s="48"/>
      <c r="Q258" s="48"/>
      <c r="R258" s="48"/>
      <c r="S258" s="48"/>
      <c r="T258" s="48"/>
      <c r="U258" s="48"/>
      <c r="V258" s="48"/>
    </row>
    <row r="259" spans="2:22" s="46" customFormat="1" ht="15" customHeight="1">
      <c r="B259" s="48"/>
      <c r="C259" s="48"/>
      <c r="D259" s="48"/>
      <c r="E259" s="48"/>
      <c r="F259" s="48"/>
      <c r="G259" s="48"/>
      <c r="H259" s="48"/>
      <c r="I259" s="48"/>
      <c r="J259" s="48"/>
      <c r="K259" s="48"/>
      <c r="L259" s="48"/>
      <c r="M259" s="48"/>
      <c r="N259" s="48"/>
      <c r="O259" s="48"/>
      <c r="P259" s="48"/>
      <c r="Q259" s="48"/>
      <c r="R259" s="48"/>
      <c r="S259" s="48"/>
      <c r="T259" s="48"/>
      <c r="U259" s="48"/>
      <c r="V259" s="48"/>
    </row>
    <row r="260" spans="2:22" s="46" customFormat="1" ht="15" customHeight="1">
      <c r="B260" s="48"/>
      <c r="C260" s="48"/>
      <c r="D260" s="48"/>
      <c r="E260" s="48"/>
      <c r="F260" s="48"/>
      <c r="G260" s="48"/>
      <c r="H260" s="48"/>
      <c r="I260" s="48"/>
      <c r="J260" s="48"/>
      <c r="K260" s="48"/>
      <c r="L260" s="48"/>
      <c r="M260" s="48"/>
      <c r="N260" s="48"/>
      <c r="O260" s="48"/>
      <c r="P260" s="48"/>
      <c r="Q260" s="48"/>
      <c r="R260" s="48"/>
      <c r="S260" s="48"/>
      <c r="T260" s="48"/>
      <c r="U260" s="48"/>
      <c r="V260" s="48"/>
    </row>
    <row r="261" spans="2:22" s="46" customFormat="1" ht="15" customHeight="1">
      <c r="B261" s="48"/>
      <c r="C261" s="48"/>
      <c r="D261" s="48"/>
      <c r="E261" s="48"/>
      <c r="F261" s="48"/>
      <c r="G261" s="48"/>
      <c r="H261" s="48"/>
      <c r="I261" s="48"/>
      <c r="J261" s="48"/>
      <c r="K261" s="48"/>
      <c r="L261" s="48"/>
      <c r="M261" s="48"/>
      <c r="N261" s="48"/>
      <c r="O261" s="48"/>
      <c r="P261" s="48"/>
      <c r="Q261" s="48"/>
      <c r="R261" s="48"/>
      <c r="S261" s="48"/>
      <c r="T261" s="48"/>
      <c r="U261" s="48"/>
      <c r="V261" s="48"/>
    </row>
    <row r="262" spans="2:22" s="46" customFormat="1" ht="15" customHeight="1">
      <c r="B262" s="48"/>
      <c r="C262" s="48"/>
      <c r="D262" s="48"/>
      <c r="E262" s="48"/>
      <c r="F262" s="48"/>
      <c r="G262" s="48"/>
      <c r="H262" s="48"/>
      <c r="I262" s="48"/>
      <c r="J262" s="48"/>
      <c r="K262" s="48"/>
      <c r="L262" s="48"/>
      <c r="M262" s="48"/>
      <c r="N262" s="48"/>
      <c r="O262" s="48"/>
      <c r="P262" s="48"/>
      <c r="Q262" s="48"/>
      <c r="R262" s="48"/>
      <c r="S262" s="48"/>
      <c r="T262" s="48"/>
      <c r="U262" s="48"/>
      <c r="V262" s="48"/>
    </row>
    <row r="263" spans="2:22" s="46" customFormat="1" ht="15" customHeight="1">
      <c r="B263" s="48"/>
      <c r="C263" s="48"/>
      <c r="D263" s="48"/>
      <c r="E263" s="48"/>
      <c r="F263" s="48"/>
      <c r="G263" s="48"/>
      <c r="H263" s="48"/>
      <c r="I263" s="48"/>
      <c r="J263" s="48"/>
      <c r="K263" s="48"/>
      <c r="L263" s="48"/>
      <c r="M263" s="48"/>
      <c r="N263" s="48"/>
      <c r="O263" s="48"/>
      <c r="P263" s="48"/>
      <c r="Q263" s="48"/>
      <c r="R263" s="48"/>
      <c r="S263" s="48"/>
      <c r="T263" s="48"/>
      <c r="U263" s="48"/>
      <c r="V263" s="48"/>
    </row>
    <row r="264" spans="2:22" s="46" customFormat="1" ht="15" customHeight="1">
      <c r="B264" s="48"/>
      <c r="C264" s="48"/>
      <c r="D264" s="48"/>
      <c r="E264" s="48"/>
      <c r="F264" s="48"/>
      <c r="G264" s="48"/>
      <c r="H264" s="48"/>
      <c r="I264" s="48"/>
      <c r="J264" s="48"/>
      <c r="K264" s="48"/>
      <c r="L264" s="48"/>
      <c r="M264" s="48"/>
      <c r="N264" s="48"/>
      <c r="O264" s="48"/>
      <c r="P264" s="48"/>
      <c r="Q264" s="48"/>
      <c r="R264" s="48"/>
      <c r="S264" s="48"/>
      <c r="T264" s="48"/>
      <c r="U264" s="48"/>
      <c r="V264" s="48"/>
    </row>
    <row r="265" spans="2:22" s="46" customFormat="1" ht="15" customHeight="1">
      <c r="B265" s="48"/>
      <c r="C265" s="48"/>
      <c r="D265" s="48"/>
      <c r="E265" s="48"/>
      <c r="F265" s="48"/>
      <c r="G265" s="48"/>
      <c r="H265" s="48"/>
      <c r="I265" s="48"/>
      <c r="J265" s="48"/>
      <c r="K265" s="48"/>
      <c r="L265" s="48"/>
      <c r="M265" s="48"/>
      <c r="N265" s="48"/>
      <c r="O265" s="48"/>
      <c r="P265" s="48"/>
      <c r="Q265" s="48"/>
      <c r="R265" s="48"/>
      <c r="S265" s="48"/>
      <c r="T265" s="48"/>
      <c r="U265" s="48"/>
      <c r="V265" s="48"/>
    </row>
    <row r="266" spans="2:22" s="46" customFormat="1" ht="15" customHeight="1">
      <c r="B266" s="48"/>
      <c r="C266" s="48"/>
      <c r="D266" s="48"/>
      <c r="E266" s="48"/>
      <c r="F266" s="48"/>
      <c r="G266" s="48"/>
      <c r="H266" s="48"/>
      <c r="I266" s="48"/>
      <c r="J266" s="48"/>
      <c r="K266" s="48"/>
      <c r="L266" s="48"/>
      <c r="M266" s="48"/>
      <c r="N266" s="48"/>
      <c r="O266" s="48"/>
      <c r="P266" s="48"/>
      <c r="Q266" s="48"/>
      <c r="R266" s="48"/>
      <c r="S266" s="48"/>
      <c r="T266" s="48"/>
      <c r="U266" s="48"/>
      <c r="V266" s="48"/>
    </row>
    <row r="267" spans="2:22" s="46" customFormat="1" ht="15" customHeight="1">
      <c r="B267" s="48"/>
      <c r="C267" s="48"/>
      <c r="D267" s="48"/>
      <c r="E267" s="48"/>
      <c r="F267" s="48"/>
      <c r="G267" s="48"/>
      <c r="H267" s="48"/>
      <c r="I267" s="48"/>
      <c r="J267" s="48"/>
      <c r="K267" s="48"/>
      <c r="L267" s="48"/>
      <c r="M267" s="48"/>
      <c r="N267" s="48"/>
      <c r="O267" s="48"/>
      <c r="P267" s="48"/>
      <c r="Q267" s="48"/>
      <c r="R267" s="48"/>
      <c r="S267" s="48"/>
      <c r="T267" s="48"/>
      <c r="U267" s="48"/>
      <c r="V267" s="48"/>
    </row>
    <row r="268" spans="2:22" s="46" customFormat="1" ht="15" customHeight="1">
      <c r="B268" s="48"/>
      <c r="C268" s="48"/>
      <c r="D268" s="48"/>
      <c r="E268" s="48"/>
      <c r="F268" s="48"/>
      <c r="G268" s="48"/>
      <c r="H268" s="48"/>
      <c r="I268" s="48"/>
      <c r="J268" s="48"/>
      <c r="K268" s="48"/>
      <c r="L268" s="48"/>
      <c r="M268" s="48"/>
      <c r="N268" s="48"/>
      <c r="O268" s="48"/>
      <c r="P268" s="48"/>
      <c r="Q268" s="48"/>
      <c r="R268" s="48"/>
      <c r="S268" s="48"/>
      <c r="T268" s="48"/>
      <c r="U268" s="48"/>
      <c r="V268" s="48"/>
    </row>
    <row r="269" spans="2:22" s="46" customFormat="1" ht="15" customHeight="1">
      <c r="B269" s="48"/>
      <c r="C269" s="48"/>
      <c r="D269" s="48"/>
      <c r="E269" s="48"/>
      <c r="F269" s="48"/>
      <c r="G269" s="48"/>
      <c r="H269" s="48"/>
      <c r="I269" s="48"/>
      <c r="J269" s="48"/>
      <c r="K269" s="48"/>
      <c r="L269" s="48"/>
      <c r="M269" s="48"/>
      <c r="N269" s="48"/>
      <c r="O269" s="48"/>
      <c r="P269" s="48"/>
      <c r="Q269" s="48"/>
      <c r="R269" s="48"/>
      <c r="S269" s="48"/>
      <c r="T269" s="48"/>
      <c r="U269" s="48"/>
      <c r="V269" s="48"/>
    </row>
    <row r="270" spans="2:22" s="46" customFormat="1" ht="15" customHeight="1">
      <c r="B270" s="48"/>
      <c r="C270" s="48"/>
      <c r="D270" s="48"/>
      <c r="E270" s="48"/>
      <c r="F270" s="48"/>
      <c r="G270" s="48"/>
      <c r="H270" s="48"/>
      <c r="I270" s="48"/>
      <c r="J270" s="48"/>
      <c r="K270" s="48"/>
      <c r="L270" s="48"/>
      <c r="M270" s="48"/>
      <c r="N270" s="48"/>
      <c r="O270" s="48"/>
      <c r="P270" s="48"/>
      <c r="Q270" s="48"/>
      <c r="R270" s="48"/>
      <c r="S270" s="48"/>
      <c r="T270" s="48"/>
      <c r="U270" s="48"/>
      <c r="V270" s="48"/>
    </row>
    <row r="271" spans="2:22" s="46" customFormat="1" ht="15" customHeight="1">
      <c r="B271" s="48"/>
      <c r="C271" s="48"/>
      <c r="D271" s="48"/>
      <c r="E271" s="48"/>
      <c r="F271" s="48"/>
      <c r="G271" s="48"/>
      <c r="H271" s="48"/>
      <c r="I271" s="48"/>
      <c r="J271" s="48"/>
      <c r="K271" s="48"/>
      <c r="L271" s="48"/>
      <c r="M271" s="48"/>
      <c r="N271" s="48"/>
      <c r="O271" s="48"/>
      <c r="P271" s="48"/>
      <c r="Q271" s="48"/>
      <c r="R271" s="48"/>
      <c r="S271" s="48"/>
      <c r="T271" s="48"/>
      <c r="U271" s="48"/>
      <c r="V271" s="48"/>
    </row>
    <row r="272" spans="2:22" s="46" customFormat="1" ht="15" customHeight="1">
      <c r="B272" s="48"/>
      <c r="C272" s="48"/>
      <c r="D272" s="48"/>
      <c r="E272" s="48"/>
      <c r="F272" s="48"/>
      <c r="G272" s="48"/>
      <c r="H272" s="48"/>
      <c r="I272" s="48"/>
      <c r="J272" s="48"/>
      <c r="K272" s="48"/>
      <c r="L272" s="48"/>
      <c r="M272" s="48"/>
      <c r="N272" s="48"/>
      <c r="O272" s="48"/>
      <c r="P272" s="48"/>
      <c r="Q272" s="48"/>
      <c r="R272" s="48"/>
      <c r="S272" s="48"/>
      <c r="T272" s="48"/>
      <c r="U272" s="48"/>
      <c r="V272" s="48"/>
    </row>
    <row r="273" spans="2:22" s="46" customFormat="1" ht="15" customHeight="1">
      <c r="B273" s="48"/>
      <c r="C273" s="48"/>
      <c r="D273" s="48"/>
      <c r="E273" s="48"/>
      <c r="F273" s="48"/>
      <c r="G273" s="48"/>
      <c r="H273" s="48"/>
      <c r="I273" s="48"/>
      <c r="J273" s="48"/>
      <c r="K273" s="48"/>
      <c r="L273" s="48"/>
      <c r="M273" s="48"/>
      <c r="N273" s="48"/>
      <c r="O273" s="48"/>
      <c r="P273" s="48"/>
      <c r="Q273" s="48"/>
      <c r="R273" s="48"/>
      <c r="S273" s="48"/>
      <c r="T273" s="48"/>
      <c r="U273" s="48"/>
      <c r="V273" s="48"/>
    </row>
    <row r="274" spans="2:22" s="46" customFormat="1" ht="15" customHeight="1">
      <c r="B274" s="48"/>
      <c r="C274" s="48"/>
      <c r="D274" s="48"/>
      <c r="E274" s="48"/>
      <c r="F274" s="48"/>
      <c r="G274" s="48"/>
      <c r="H274" s="48"/>
      <c r="I274" s="48"/>
      <c r="J274" s="48"/>
      <c r="K274" s="48"/>
      <c r="L274" s="48"/>
      <c r="M274" s="48"/>
      <c r="N274" s="48"/>
      <c r="O274" s="48"/>
      <c r="P274" s="48"/>
      <c r="Q274" s="48"/>
      <c r="R274" s="48"/>
      <c r="S274" s="48"/>
      <c r="T274" s="48"/>
      <c r="U274" s="48"/>
      <c r="V274" s="48"/>
    </row>
    <row r="275" spans="2:22" s="46" customFormat="1" ht="15" customHeight="1">
      <c r="B275" s="48"/>
      <c r="C275" s="48"/>
      <c r="D275" s="48"/>
      <c r="E275" s="48"/>
      <c r="F275" s="48"/>
      <c r="G275" s="48"/>
      <c r="H275" s="48"/>
      <c r="I275" s="48"/>
      <c r="J275" s="48"/>
      <c r="K275" s="48"/>
      <c r="L275" s="48"/>
      <c r="M275" s="48"/>
      <c r="N275" s="48"/>
      <c r="O275" s="48"/>
      <c r="P275" s="48"/>
      <c r="Q275" s="48"/>
      <c r="R275" s="48"/>
      <c r="S275" s="48"/>
      <c r="T275" s="48"/>
      <c r="U275" s="48"/>
      <c r="V275" s="48"/>
    </row>
    <row r="276" spans="2:22" s="46" customFormat="1" ht="15" customHeight="1">
      <c r="B276" s="48"/>
      <c r="C276" s="48"/>
      <c r="D276" s="48"/>
      <c r="E276" s="48"/>
      <c r="F276" s="48"/>
      <c r="G276" s="48"/>
      <c r="H276" s="48"/>
      <c r="I276" s="48"/>
      <c r="J276" s="48"/>
      <c r="K276" s="48"/>
      <c r="L276" s="48"/>
      <c r="M276" s="48"/>
      <c r="N276" s="48"/>
      <c r="O276" s="48"/>
      <c r="P276" s="48"/>
      <c r="Q276" s="48"/>
      <c r="R276" s="48"/>
      <c r="S276" s="48"/>
      <c r="T276" s="48"/>
      <c r="U276" s="48"/>
      <c r="V276" s="48"/>
    </row>
    <row r="277" spans="2:22" s="46" customFormat="1" ht="15" customHeight="1">
      <c r="B277" s="48"/>
      <c r="C277" s="48"/>
      <c r="D277" s="48"/>
      <c r="E277" s="48"/>
      <c r="F277" s="48"/>
      <c r="G277" s="48"/>
      <c r="H277" s="48"/>
      <c r="I277" s="48"/>
      <c r="J277" s="48"/>
      <c r="K277" s="48"/>
      <c r="L277" s="48"/>
      <c r="M277" s="48"/>
      <c r="N277" s="48"/>
      <c r="O277" s="48"/>
      <c r="P277" s="48"/>
      <c r="Q277" s="48"/>
      <c r="R277" s="48"/>
      <c r="S277" s="48"/>
      <c r="T277" s="48"/>
      <c r="U277" s="48"/>
      <c r="V277" s="48"/>
    </row>
    <row r="278" spans="2:22" s="46" customFormat="1" ht="15" customHeight="1">
      <c r="B278" s="48"/>
      <c r="C278" s="48"/>
      <c r="D278" s="48"/>
      <c r="E278" s="48"/>
      <c r="F278" s="48"/>
      <c r="G278" s="48"/>
      <c r="H278" s="48"/>
      <c r="I278" s="48"/>
      <c r="J278" s="48"/>
      <c r="K278" s="48"/>
      <c r="L278" s="48"/>
      <c r="M278" s="48"/>
      <c r="N278" s="48"/>
      <c r="O278" s="48"/>
      <c r="P278" s="48"/>
      <c r="Q278" s="48"/>
      <c r="R278" s="48"/>
      <c r="S278" s="48"/>
      <c r="T278" s="48"/>
      <c r="U278" s="48"/>
      <c r="V278" s="48"/>
    </row>
    <row r="279" spans="2:22" s="46" customFormat="1" ht="15" customHeight="1">
      <c r="B279" s="48"/>
      <c r="C279" s="48"/>
      <c r="D279" s="48"/>
      <c r="E279" s="48"/>
      <c r="F279" s="48"/>
      <c r="G279" s="48"/>
      <c r="H279" s="48"/>
      <c r="I279" s="48"/>
      <c r="J279" s="48"/>
      <c r="K279" s="48"/>
      <c r="L279" s="48"/>
      <c r="M279" s="48"/>
      <c r="N279" s="48"/>
      <c r="O279" s="48"/>
      <c r="P279" s="48"/>
      <c r="Q279" s="48"/>
      <c r="R279" s="48"/>
      <c r="S279" s="48"/>
      <c r="T279" s="48"/>
      <c r="U279" s="48"/>
      <c r="V279" s="48"/>
    </row>
    <row r="280" spans="2:22" s="46" customFormat="1" ht="15" customHeight="1">
      <c r="B280" s="48"/>
      <c r="C280" s="48"/>
      <c r="D280" s="48"/>
      <c r="E280" s="48"/>
      <c r="F280" s="48"/>
      <c r="G280" s="48"/>
      <c r="H280" s="48"/>
      <c r="I280" s="48"/>
      <c r="J280" s="48"/>
      <c r="K280" s="48"/>
      <c r="L280" s="48"/>
      <c r="M280" s="48"/>
      <c r="N280" s="48"/>
      <c r="O280" s="48"/>
      <c r="P280" s="48"/>
      <c r="Q280" s="48"/>
      <c r="R280" s="48"/>
      <c r="S280" s="48"/>
      <c r="T280" s="48"/>
      <c r="U280" s="48"/>
      <c r="V280" s="48"/>
    </row>
    <row r="281" spans="2:22" s="46" customFormat="1" ht="15" customHeight="1">
      <c r="B281" s="48"/>
      <c r="C281" s="48"/>
      <c r="D281" s="48"/>
      <c r="E281" s="48"/>
      <c r="F281" s="48"/>
      <c r="G281" s="48"/>
      <c r="H281" s="48"/>
      <c r="I281" s="48"/>
      <c r="J281" s="48"/>
      <c r="K281" s="48"/>
      <c r="L281" s="48"/>
      <c r="M281" s="48"/>
      <c r="N281" s="48"/>
      <c r="O281" s="48"/>
      <c r="P281" s="48"/>
      <c r="Q281" s="48"/>
      <c r="R281" s="48"/>
      <c r="S281" s="48"/>
      <c r="T281" s="48"/>
      <c r="U281" s="48"/>
      <c r="V281" s="48"/>
    </row>
    <row r="282" spans="2:22" s="46" customFormat="1" ht="15" customHeight="1">
      <c r="B282" s="48"/>
      <c r="C282" s="48"/>
      <c r="D282" s="48"/>
      <c r="E282" s="48"/>
      <c r="F282" s="48"/>
      <c r="G282" s="48"/>
      <c r="H282" s="48"/>
      <c r="I282" s="48"/>
      <c r="J282" s="48"/>
      <c r="K282" s="48"/>
      <c r="L282" s="48"/>
      <c r="M282" s="48"/>
      <c r="N282" s="48"/>
      <c r="O282" s="48"/>
      <c r="P282" s="48"/>
      <c r="Q282" s="48"/>
      <c r="R282" s="48"/>
      <c r="S282" s="48"/>
      <c r="T282" s="48"/>
      <c r="U282" s="48"/>
      <c r="V282" s="48"/>
    </row>
    <row r="283" spans="2:22" s="46" customFormat="1" ht="15" customHeight="1">
      <c r="B283" s="48"/>
      <c r="C283" s="48"/>
      <c r="D283" s="48"/>
      <c r="E283" s="48"/>
      <c r="F283" s="48"/>
      <c r="G283" s="48"/>
      <c r="H283" s="48"/>
      <c r="I283" s="48"/>
      <c r="J283" s="48"/>
      <c r="K283" s="48"/>
      <c r="L283" s="48"/>
      <c r="M283" s="48"/>
      <c r="N283" s="48"/>
      <c r="O283" s="48"/>
      <c r="P283" s="48"/>
      <c r="Q283" s="48"/>
      <c r="R283" s="48"/>
      <c r="S283" s="48"/>
      <c r="T283" s="48"/>
      <c r="U283" s="48"/>
      <c r="V283" s="48"/>
    </row>
    <row r="284" spans="2:22" s="46" customFormat="1" ht="15" customHeight="1">
      <c r="B284" s="48"/>
      <c r="C284" s="48"/>
      <c r="D284" s="48"/>
      <c r="E284" s="48"/>
      <c r="F284" s="48"/>
      <c r="G284" s="48"/>
      <c r="H284" s="48"/>
      <c r="I284" s="48"/>
      <c r="J284" s="48"/>
      <c r="K284" s="48"/>
      <c r="L284" s="48"/>
      <c r="M284" s="48"/>
      <c r="N284" s="48"/>
      <c r="O284" s="48"/>
      <c r="P284" s="48"/>
      <c r="Q284" s="48"/>
      <c r="R284" s="48"/>
      <c r="S284" s="48"/>
      <c r="T284" s="48"/>
      <c r="U284" s="48"/>
      <c r="V284" s="48"/>
    </row>
    <row r="285" spans="2:22" s="46" customFormat="1" ht="15" customHeight="1">
      <c r="B285" s="48"/>
      <c r="C285" s="48"/>
      <c r="D285" s="48"/>
      <c r="E285" s="48"/>
      <c r="F285" s="48"/>
      <c r="G285" s="48"/>
      <c r="H285" s="48"/>
      <c r="I285" s="48"/>
      <c r="J285" s="48"/>
      <c r="K285" s="48"/>
      <c r="L285" s="48"/>
      <c r="M285" s="48"/>
      <c r="N285" s="48"/>
      <c r="O285" s="48"/>
      <c r="P285" s="48"/>
      <c r="Q285" s="48"/>
      <c r="R285" s="48"/>
      <c r="S285" s="48"/>
      <c r="T285" s="48"/>
      <c r="U285" s="48"/>
      <c r="V285" s="48"/>
    </row>
    <row r="286" spans="2:22" s="46" customFormat="1" ht="15" customHeight="1">
      <c r="B286" s="48"/>
      <c r="C286" s="48"/>
      <c r="D286" s="48"/>
      <c r="E286" s="48"/>
      <c r="F286" s="48"/>
      <c r="G286" s="48"/>
      <c r="H286" s="48"/>
      <c r="I286" s="48"/>
      <c r="J286" s="48"/>
      <c r="K286" s="48"/>
      <c r="L286" s="48"/>
      <c r="M286" s="48"/>
      <c r="N286" s="48"/>
      <c r="O286" s="48"/>
      <c r="P286" s="48"/>
      <c r="Q286" s="48"/>
      <c r="R286" s="48"/>
      <c r="S286" s="48"/>
      <c r="T286" s="48"/>
      <c r="U286" s="48"/>
      <c r="V286" s="48"/>
    </row>
    <row r="287" spans="2:22" s="46" customFormat="1" ht="15" customHeight="1">
      <c r="B287" s="48"/>
      <c r="C287" s="48"/>
      <c r="D287" s="48"/>
      <c r="E287" s="48"/>
      <c r="F287" s="48"/>
      <c r="G287" s="48"/>
      <c r="H287" s="48"/>
      <c r="I287" s="48"/>
      <c r="J287" s="48"/>
      <c r="K287" s="48"/>
      <c r="L287" s="48"/>
      <c r="M287" s="48"/>
      <c r="N287" s="48"/>
      <c r="O287" s="48"/>
      <c r="P287" s="48"/>
      <c r="Q287" s="48"/>
      <c r="R287" s="48"/>
      <c r="S287" s="48"/>
      <c r="T287" s="48"/>
      <c r="U287" s="48"/>
      <c r="V287" s="48"/>
    </row>
    <row r="288" spans="2:22" s="46" customFormat="1" ht="15" customHeight="1">
      <c r="B288" s="48"/>
      <c r="C288" s="48"/>
      <c r="D288" s="48"/>
      <c r="E288" s="48"/>
      <c r="F288" s="48"/>
      <c r="G288" s="48"/>
      <c r="H288" s="48"/>
      <c r="I288" s="48"/>
      <c r="J288" s="48"/>
      <c r="K288" s="48"/>
      <c r="L288" s="48"/>
      <c r="M288" s="48"/>
      <c r="N288" s="48"/>
      <c r="O288" s="48"/>
      <c r="P288" s="48"/>
      <c r="Q288" s="48"/>
      <c r="R288" s="48"/>
      <c r="S288" s="48"/>
      <c r="T288" s="48"/>
      <c r="U288" s="48"/>
      <c r="V288" s="48"/>
    </row>
    <row r="289" spans="2:22" s="46" customFormat="1" ht="15" customHeight="1">
      <c r="B289" s="48"/>
      <c r="C289" s="48"/>
      <c r="D289" s="48"/>
      <c r="E289" s="48"/>
      <c r="F289" s="48"/>
      <c r="G289" s="48"/>
      <c r="H289" s="48"/>
      <c r="I289" s="48"/>
      <c r="J289" s="48"/>
      <c r="K289" s="48"/>
      <c r="L289" s="48"/>
      <c r="M289" s="48"/>
      <c r="N289" s="48"/>
      <c r="O289" s="48"/>
      <c r="P289" s="48"/>
      <c r="Q289" s="48"/>
      <c r="R289" s="48"/>
      <c r="S289" s="48"/>
      <c r="T289" s="48"/>
      <c r="U289" s="48"/>
      <c r="V289" s="48"/>
    </row>
    <row r="290" spans="2:22" s="46" customFormat="1" ht="15" customHeight="1">
      <c r="B290" s="48"/>
      <c r="C290" s="48"/>
      <c r="D290" s="48"/>
      <c r="E290" s="48"/>
      <c r="F290" s="48"/>
      <c r="G290" s="48"/>
      <c r="H290" s="48"/>
      <c r="I290" s="48"/>
      <c r="J290" s="48"/>
      <c r="K290" s="48"/>
      <c r="L290" s="48"/>
      <c r="M290" s="48"/>
      <c r="N290" s="48"/>
      <c r="O290" s="48"/>
      <c r="P290" s="48"/>
      <c r="Q290" s="48"/>
      <c r="R290" s="48"/>
      <c r="S290" s="48"/>
      <c r="T290" s="48"/>
      <c r="U290" s="48"/>
      <c r="V290" s="48"/>
    </row>
    <row r="291" spans="2:22" s="46" customFormat="1" ht="15" customHeight="1">
      <c r="B291" s="48"/>
      <c r="C291" s="48"/>
      <c r="D291" s="48"/>
      <c r="E291" s="48"/>
      <c r="F291" s="48"/>
      <c r="G291" s="48"/>
      <c r="H291" s="48"/>
      <c r="I291" s="48"/>
      <c r="J291" s="48"/>
      <c r="K291" s="48"/>
      <c r="L291" s="48"/>
      <c r="M291" s="48"/>
      <c r="N291" s="48"/>
      <c r="O291" s="48"/>
      <c r="P291" s="48"/>
      <c r="Q291" s="48"/>
      <c r="R291" s="48"/>
      <c r="S291" s="48"/>
      <c r="T291" s="48"/>
      <c r="U291" s="48"/>
      <c r="V291" s="48"/>
    </row>
    <row r="292" spans="2:22" s="46" customFormat="1" ht="15" customHeight="1">
      <c r="B292" s="48"/>
      <c r="C292" s="48"/>
      <c r="D292" s="48"/>
      <c r="E292" s="48"/>
      <c r="F292" s="48"/>
      <c r="G292" s="48"/>
      <c r="H292" s="48"/>
      <c r="I292" s="48"/>
      <c r="J292" s="48"/>
      <c r="K292" s="48"/>
      <c r="L292" s="48"/>
      <c r="M292" s="48"/>
      <c r="N292" s="48"/>
      <c r="O292" s="48"/>
      <c r="P292" s="48"/>
      <c r="Q292" s="48"/>
      <c r="R292" s="48"/>
      <c r="S292" s="48"/>
      <c r="T292" s="48"/>
      <c r="U292" s="48"/>
      <c r="V292" s="48"/>
    </row>
    <row r="293" spans="2:22" s="46" customFormat="1" ht="15" customHeight="1">
      <c r="B293" s="48"/>
      <c r="C293" s="48"/>
      <c r="D293" s="48"/>
      <c r="E293" s="48"/>
      <c r="F293" s="48"/>
      <c r="G293" s="48"/>
      <c r="H293" s="48"/>
      <c r="I293" s="48"/>
      <c r="J293" s="48"/>
      <c r="K293" s="48"/>
      <c r="L293" s="48"/>
      <c r="M293" s="48"/>
      <c r="N293" s="48"/>
      <c r="O293" s="48"/>
      <c r="P293" s="48"/>
      <c r="Q293" s="48"/>
      <c r="R293" s="48"/>
      <c r="S293" s="48"/>
      <c r="T293" s="48"/>
      <c r="U293" s="48"/>
      <c r="V293" s="48"/>
    </row>
    <row r="294" spans="2:22" s="46" customFormat="1" ht="15" customHeight="1">
      <c r="B294" s="48"/>
      <c r="C294" s="48"/>
      <c r="D294" s="48"/>
      <c r="E294" s="48"/>
      <c r="F294" s="48"/>
      <c r="G294" s="48"/>
      <c r="H294" s="48"/>
      <c r="I294" s="48"/>
      <c r="J294" s="48"/>
      <c r="K294" s="48"/>
      <c r="L294" s="48"/>
      <c r="M294" s="48"/>
      <c r="N294" s="48"/>
      <c r="O294" s="48"/>
      <c r="P294" s="48"/>
      <c r="Q294" s="48"/>
      <c r="R294" s="48"/>
      <c r="S294" s="48"/>
      <c r="T294" s="48"/>
      <c r="U294" s="48"/>
      <c r="V294" s="48"/>
    </row>
    <row r="295" spans="2:22" s="46" customFormat="1" ht="15" customHeight="1">
      <c r="B295" s="48"/>
      <c r="C295" s="48"/>
      <c r="D295" s="48"/>
      <c r="E295" s="48"/>
      <c r="F295" s="48"/>
      <c r="G295" s="48"/>
      <c r="H295" s="48"/>
      <c r="I295" s="48"/>
      <c r="J295" s="48"/>
      <c r="K295" s="48"/>
      <c r="L295" s="48"/>
      <c r="M295" s="48"/>
      <c r="N295" s="48"/>
      <c r="O295" s="48"/>
      <c r="P295" s="48"/>
      <c r="Q295" s="48"/>
      <c r="R295" s="48"/>
      <c r="S295" s="48"/>
      <c r="T295" s="48"/>
      <c r="U295" s="48"/>
      <c r="V295" s="48"/>
    </row>
    <row r="296" spans="2:22" s="46" customFormat="1" ht="15" customHeight="1">
      <c r="B296" s="48"/>
      <c r="C296" s="48"/>
      <c r="D296" s="48"/>
      <c r="E296" s="48"/>
      <c r="F296" s="48"/>
      <c r="G296" s="48"/>
      <c r="H296" s="48"/>
      <c r="I296" s="48"/>
      <c r="J296" s="48"/>
      <c r="K296" s="48"/>
      <c r="L296" s="48"/>
      <c r="M296" s="48"/>
      <c r="N296" s="48"/>
      <c r="O296" s="48"/>
      <c r="P296" s="48"/>
      <c r="Q296" s="48"/>
      <c r="R296" s="48"/>
      <c r="S296" s="48"/>
      <c r="T296" s="48"/>
      <c r="U296" s="48"/>
      <c r="V296" s="48"/>
    </row>
    <row r="297" spans="2:22" s="46" customFormat="1" ht="15" customHeight="1">
      <c r="B297" s="48"/>
      <c r="C297" s="48"/>
      <c r="D297" s="48"/>
      <c r="E297" s="48"/>
      <c r="F297" s="48"/>
      <c r="G297" s="48"/>
      <c r="H297" s="48"/>
      <c r="I297" s="48"/>
      <c r="J297" s="48"/>
      <c r="K297" s="48"/>
      <c r="L297" s="48"/>
      <c r="M297" s="48"/>
      <c r="N297" s="48"/>
      <c r="O297" s="48"/>
      <c r="P297" s="48"/>
      <c r="Q297" s="48"/>
      <c r="R297" s="48"/>
      <c r="S297" s="48"/>
      <c r="T297" s="48"/>
      <c r="U297" s="48"/>
      <c r="V297" s="48"/>
    </row>
    <row r="298" spans="2:22" s="46" customFormat="1" ht="15" customHeight="1">
      <c r="B298" s="48"/>
      <c r="C298" s="48"/>
      <c r="D298" s="48"/>
      <c r="E298" s="48"/>
      <c r="F298" s="48"/>
      <c r="G298" s="48"/>
      <c r="H298" s="48"/>
      <c r="I298" s="48"/>
      <c r="J298" s="48"/>
      <c r="K298" s="48"/>
      <c r="L298" s="48"/>
      <c r="M298" s="48"/>
      <c r="N298" s="48"/>
      <c r="O298" s="48"/>
      <c r="P298" s="48"/>
      <c r="Q298" s="48"/>
      <c r="R298" s="48"/>
      <c r="S298" s="48"/>
      <c r="T298" s="48"/>
      <c r="U298" s="48"/>
      <c r="V298" s="48"/>
    </row>
    <row r="299" spans="2:22" s="46" customFormat="1" ht="15" customHeight="1">
      <c r="B299" s="48"/>
      <c r="C299" s="48"/>
      <c r="D299" s="48"/>
      <c r="E299" s="48"/>
      <c r="F299" s="48"/>
      <c r="G299" s="48"/>
      <c r="H299" s="48"/>
      <c r="I299" s="48"/>
      <c r="J299" s="48"/>
      <c r="K299" s="48"/>
      <c r="L299" s="48"/>
      <c r="M299" s="48"/>
      <c r="N299" s="48"/>
      <c r="O299" s="48"/>
      <c r="P299" s="48"/>
      <c r="Q299" s="48"/>
      <c r="R299" s="48"/>
      <c r="S299" s="48"/>
      <c r="T299" s="48"/>
      <c r="U299" s="48"/>
      <c r="V299" s="48"/>
    </row>
    <row r="300" spans="2:22" s="46" customFormat="1" ht="15" customHeight="1">
      <c r="B300" s="48"/>
      <c r="C300" s="48"/>
      <c r="D300" s="48"/>
      <c r="E300" s="48"/>
      <c r="F300" s="48"/>
      <c r="G300" s="48"/>
      <c r="H300" s="48"/>
      <c r="I300" s="48"/>
      <c r="J300" s="48"/>
      <c r="K300" s="48"/>
      <c r="L300" s="48"/>
      <c r="M300" s="48"/>
      <c r="N300" s="48"/>
      <c r="O300" s="48"/>
      <c r="P300" s="48"/>
      <c r="Q300" s="48"/>
      <c r="R300" s="48"/>
      <c r="S300" s="48"/>
      <c r="T300" s="48"/>
      <c r="U300" s="48"/>
      <c r="V300" s="48"/>
    </row>
    <row r="301" spans="2:22" s="46" customFormat="1" ht="15" customHeight="1">
      <c r="B301" s="48"/>
      <c r="C301" s="48"/>
      <c r="D301" s="48"/>
      <c r="E301" s="48"/>
      <c r="F301" s="48"/>
      <c r="G301" s="48"/>
      <c r="H301" s="48"/>
      <c r="I301" s="48"/>
      <c r="J301" s="48"/>
      <c r="K301" s="48"/>
      <c r="L301" s="48"/>
      <c r="M301" s="48"/>
      <c r="N301" s="48"/>
      <c r="O301" s="48"/>
      <c r="P301" s="48"/>
      <c r="Q301" s="48"/>
      <c r="R301" s="48"/>
      <c r="S301" s="48"/>
      <c r="T301" s="48"/>
      <c r="U301" s="48"/>
      <c r="V301" s="48"/>
    </row>
    <row r="302" spans="2:22" s="46" customFormat="1" ht="15" customHeight="1">
      <c r="B302" s="48"/>
      <c r="C302" s="48"/>
      <c r="D302" s="48"/>
      <c r="E302" s="48"/>
      <c r="F302" s="48"/>
      <c r="G302" s="48"/>
      <c r="H302" s="48"/>
      <c r="I302" s="48"/>
      <c r="J302" s="48"/>
      <c r="K302" s="48"/>
      <c r="L302" s="48"/>
      <c r="M302" s="48"/>
      <c r="N302" s="48"/>
      <c r="O302" s="48"/>
      <c r="P302" s="48"/>
      <c r="Q302" s="48"/>
      <c r="R302" s="48"/>
      <c r="S302" s="48"/>
      <c r="T302" s="48"/>
      <c r="U302" s="48"/>
      <c r="V302" s="48"/>
    </row>
    <row r="303" spans="2:22" s="46" customFormat="1" ht="15" customHeight="1">
      <c r="B303" s="48"/>
      <c r="C303" s="48"/>
      <c r="D303" s="48"/>
      <c r="E303" s="48"/>
      <c r="F303" s="48"/>
      <c r="G303" s="48"/>
      <c r="H303" s="48"/>
      <c r="I303" s="48"/>
      <c r="J303" s="48"/>
      <c r="K303" s="48"/>
      <c r="L303" s="48"/>
      <c r="M303" s="48"/>
      <c r="N303" s="48"/>
      <c r="O303" s="48"/>
      <c r="P303" s="48"/>
      <c r="Q303" s="48"/>
      <c r="R303" s="48"/>
      <c r="S303" s="48"/>
      <c r="T303" s="48"/>
      <c r="U303" s="48"/>
      <c r="V303" s="48"/>
    </row>
    <row r="304" spans="2:22" s="46" customFormat="1" ht="15" customHeight="1">
      <c r="B304" s="48"/>
      <c r="C304" s="48"/>
      <c r="D304" s="48"/>
      <c r="E304" s="48"/>
      <c r="F304" s="48"/>
      <c r="G304" s="48"/>
      <c r="H304" s="48"/>
      <c r="I304" s="48"/>
      <c r="J304" s="48"/>
      <c r="K304" s="48"/>
      <c r="L304" s="48"/>
      <c r="M304" s="48"/>
      <c r="N304" s="48"/>
      <c r="O304" s="48"/>
      <c r="P304" s="48"/>
      <c r="Q304" s="48"/>
      <c r="R304" s="48"/>
      <c r="S304" s="48"/>
      <c r="T304" s="48"/>
      <c r="U304" s="48"/>
      <c r="V304" s="48"/>
    </row>
    <row r="305" spans="2:22" s="46" customFormat="1" ht="15" customHeight="1">
      <c r="B305" s="48"/>
      <c r="C305" s="48"/>
      <c r="D305" s="48"/>
      <c r="E305" s="48"/>
      <c r="F305" s="48"/>
      <c r="G305" s="48"/>
      <c r="H305" s="48"/>
      <c r="I305" s="48"/>
      <c r="J305" s="48"/>
      <c r="K305" s="48"/>
      <c r="L305" s="48"/>
      <c r="M305" s="48"/>
      <c r="N305" s="48"/>
      <c r="O305" s="48"/>
      <c r="P305" s="48"/>
      <c r="Q305" s="48"/>
      <c r="R305" s="48"/>
      <c r="S305" s="48"/>
      <c r="T305" s="48"/>
      <c r="U305" s="48"/>
      <c r="V305" s="48"/>
    </row>
    <row r="306" spans="2:22" s="46" customFormat="1" ht="15" customHeight="1">
      <c r="B306" s="48"/>
      <c r="C306" s="48"/>
      <c r="D306" s="48"/>
      <c r="E306" s="48"/>
      <c r="F306" s="48"/>
      <c r="G306" s="48"/>
      <c r="H306" s="48"/>
      <c r="I306" s="48"/>
      <c r="J306" s="48"/>
      <c r="K306" s="48"/>
      <c r="L306" s="48"/>
      <c r="M306" s="48"/>
      <c r="N306" s="48"/>
      <c r="O306" s="48"/>
      <c r="P306" s="48"/>
      <c r="Q306" s="48"/>
      <c r="R306" s="48"/>
      <c r="S306" s="48"/>
      <c r="T306" s="48"/>
      <c r="U306" s="48"/>
      <c r="V306" s="48"/>
    </row>
    <row r="307" spans="2:22" s="46" customFormat="1" ht="15" customHeight="1">
      <c r="B307" s="48"/>
      <c r="C307" s="48"/>
      <c r="D307" s="48"/>
      <c r="E307" s="48"/>
      <c r="F307" s="48"/>
      <c r="G307" s="48"/>
      <c r="H307" s="48"/>
      <c r="I307" s="48"/>
      <c r="J307" s="48"/>
      <c r="K307" s="48"/>
      <c r="L307" s="48"/>
      <c r="M307" s="48"/>
      <c r="N307" s="48"/>
      <c r="O307" s="48"/>
      <c r="P307" s="48"/>
      <c r="Q307" s="48"/>
      <c r="R307" s="48"/>
      <c r="S307" s="48"/>
      <c r="T307" s="48"/>
      <c r="U307" s="48"/>
      <c r="V307" s="48"/>
    </row>
    <row r="308" spans="2:22" s="46" customFormat="1" ht="15" customHeight="1">
      <c r="B308" s="48"/>
      <c r="C308" s="48"/>
      <c r="D308" s="48"/>
      <c r="E308" s="48"/>
      <c r="F308" s="48"/>
      <c r="G308" s="48"/>
      <c r="H308" s="48"/>
      <c r="I308" s="48"/>
      <c r="J308" s="48"/>
      <c r="K308" s="48"/>
      <c r="L308" s="48"/>
      <c r="M308" s="48"/>
      <c r="N308" s="48"/>
      <c r="O308" s="48"/>
      <c r="P308" s="48"/>
      <c r="Q308" s="48"/>
      <c r="R308" s="48"/>
      <c r="S308" s="48"/>
      <c r="T308" s="48"/>
      <c r="U308" s="48"/>
      <c r="V308" s="48"/>
    </row>
    <row r="309" spans="2:22" s="46" customFormat="1" ht="15" customHeight="1">
      <c r="B309" s="48"/>
      <c r="C309" s="48"/>
      <c r="D309" s="48"/>
      <c r="E309" s="48"/>
      <c r="F309" s="48"/>
      <c r="G309" s="48"/>
      <c r="H309" s="48"/>
      <c r="I309" s="48"/>
      <c r="J309" s="48"/>
      <c r="K309" s="48"/>
      <c r="L309" s="48"/>
      <c r="M309" s="48"/>
      <c r="N309" s="48"/>
      <c r="O309" s="48"/>
      <c r="P309" s="48"/>
      <c r="Q309" s="48"/>
      <c r="R309" s="48"/>
      <c r="S309" s="48"/>
      <c r="T309" s="48"/>
      <c r="U309" s="48"/>
      <c r="V309" s="48"/>
    </row>
    <row r="310" spans="2:22" s="46" customFormat="1" ht="15" customHeight="1">
      <c r="B310" s="48"/>
      <c r="C310" s="48"/>
      <c r="D310" s="48"/>
      <c r="E310" s="48"/>
      <c r="F310" s="48"/>
      <c r="G310" s="48"/>
      <c r="H310" s="48"/>
      <c r="I310" s="48"/>
      <c r="J310" s="48"/>
      <c r="K310" s="48"/>
      <c r="L310" s="48"/>
      <c r="M310" s="48"/>
      <c r="N310" s="48"/>
      <c r="O310" s="48"/>
      <c r="P310" s="48"/>
      <c r="Q310" s="48"/>
      <c r="R310" s="48"/>
      <c r="S310" s="48"/>
      <c r="T310" s="48"/>
      <c r="U310" s="48"/>
      <c r="V310" s="48"/>
    </row>
    <row r="311" spans="2:22" s="46" customFormat="1" ht="15" customHeight="1">
      <c r="B311" s="48"/>
      <c r="C311" s="48"/>
      <c r="D311" s="48"/>
      <c r="E311" s="48"/>
      <c r="F311" s="48"/>
      <c r="G311" s="48"/>
      <c r="H311" s="48"/>
      <c r="I311" s="48"/>
      <c r="J311" s="48"/>
      <c r="K311" s="48"/>
      <c r="L311" s="48"/>
      <c r="M311" s="48"/>
      <c r="N311" s="48"/>
      <c r="O311" s="48"/>
      <c r="P311" s="48"/>
      <c r="Q311" s="48"/>
      <c r="R311" s="48"/>
      <c r="S311" s="48"/>
      <c r="T311" s="48"/>
      <c r="U311" s="48"/>
      <c r="V311" s="48"/>
    </row>
    <row r="312" spans="2:22" s="46" customFormat="1" ht="15" customHeight="1">
      <c r="B312" s="48"/>
      <c r="C312" s="48"/>
      <c r="D312" s="48"/>
      <c r="E312" s="48"/>
      <c r="F312" s="48"/>
      <c r="G312" s="48"/>
      <c r="H312" s="48"/>
      <c r="I312" s="48"/>
      <c r="J312" s="48"/>
      <c r="K312" s="48"/>
      <c r="L312" s="48"/>
      <c r="M312" s="48"/>
      <c r="N312" s="48"/>
      <c r="O312" s="48"/>
      <c r="P312" s="48"/>
      <c r="Q312" s="48"/>
      <c r="R312" s="48"/>
      <c r="S312" s="48"/>
      <c r="T312" s="48"/>
      <c r="U312" s="48"/>
      <c r="V312" s="48"/>
    </row>
    <row r="313" spans="2:22" s="46" customFormat="1" ht="15" customHeight="1">
      <c r="B313" s="48"/>
      <c r="C313" s="48"/>
      <c r="D313" s="48"/>
      <c r="E313" s="48"/>
      <c r="F313" s="48"/>
      <c r="G313" s="48"/>
      <c r="H313" s="48"/>
      <c r="I313" s="48"/>
      <c r="J313" s="48"/>
      <c r="K313" s="48"/>
      <c r="L313" s="48"/>
      <c r="M313" s="48"/>
      <c r="N313" s="48"/>
      <c r="O313" s="48"/>
      <c r="P313" s="48"/>
      <c r="Q313" s="48"/>
      <c r="R313" s="48"/>
      <c r="S313" s="48"/>
      <c r="T313" s="48"/>
      <c r="U313" s="48"/>
      <c r="V313" s="48"/>
    </row>
    <row r="314" spans="2:22" s="46" customFormat="1" ht="15" customHeight="1">
      <c r="B314" s="48"/>
      <c r="C314" s="48"/>
      <c r="D314" s="48"/>
      <c r="E314" s="48"/>
      <c r="F314" s="48"/>
      <c r="G314" s="48"/>
      <c r="H314" s="48"/>
      <c r="I314" s="48"/>
      <c r="J314" s="48"/>
      <c r="K314" s="48"/>
      <c r="L314" s="48"/>
      <c r="M314" s="48"/>
      <c r="N314" s="48"/>
      <c r="O314" s="48"/>
      <c r="P314" s="48"/>
      <c r="Q314" s="48"/>
      <c r="R314" s="48"/>
      <c r="S314" s="48"/>
      <c r="T314" s="48"/>
      <c r="U314" s="48"/>
      <c r="V314" s="48"/>
    </row>
    <row r="315" spans="2:22" s="46" customFormat="1" ht="15" customHeight="1">
      <c r="B315" s="48"/>
      <c r="C315" s="48"/>
      <c r="D315" s="48"/>
      <c r="E315" s="48"/>
      <c r="F315" s="48"/>
      <c r="G315" s="48"/>
      <c r="H315" s="48"/>
      <c r="I315" s="48"/>
      <c r="J315" s="48"/>
      <c r="K315" s="48"/>
      <c r="L315" s="48"/>
      <c r="M315" s="48"/>
      <c r="N315" s="48"/>
      <c r="O315" s="48"/>
      <c r="P315" s="48"/>
      <c r="Q315" s="48"/>
      <c r="R315" s="48"/>
      <c r="S315" s="48"/>
      <c r="T315" s="48"/>
      <c r="U315" s="48"/>
      <c r="V315" s="48"/>
    </row>
    <row r="316" spans="2:22" s="46" customFormat="1" ht="15" customHeight="1">
      <c r="B316" s="48"/>
      <c r="C316" s="48"/>
      <c r="D316" s="48"/>
      <c r="E316" s="48"/>
      <c r="F316" s="48"/>
      <c r="G316" s="48"/>
      <c r="H316" s="48"/>
      <c r="I316" s="48"/>
      <c r="J316" s="48"/>
      <c r="K316" s="48"/>
      <c r="L316" s="48"/>
      <c r="M316" s="48"/>
      <c r="N316" s="48"/>
      <c r="O316" s="48"/>
      <c r="P316" s="48"/>
      <c r="Q316" s="48"/>
      <c r="R316" s="48"/>
      <c r="S316" s="48"/>
      <c r="T316" s="48"/>
      <c r="U316" s="48"/>
      <c r="V316" s="48"/>
    </row>
    <row r="317" spans="2:22" s="46" customFormat="1" ht="15" customHeight="1">
      <c r="B317" s="48"/>
      <c r="C317" s="48"/>
      <c r="D317" s="48"/>
      <c r="E317" s="48"/>
      <c r="F317" s="48"/>
      <c r="G317" s="48"/>
      <c r="H317" s="48"/>
      <c r="I317" s="48"/>
      <c r="J317" s="48"/>
      <c r="K317" s="48"/>
      <c r="L317" s="48"/>
      <c r="M317" s="48"/>
      <c r="N317" s="48"/>
      <c r="O317" s="48"/>
      <c r="P317" s="48"/>
      <c r="Q317" s="48"/>
      <c r="R317" s="48"/>
      <c r="S317" s="48"/>
      <c r="T317" s="48"/>
      <c r="U317" s="48"/>
      <c r="V317" s="48"/>
    </row>
    <row r="318" spans="2:22" s="46" customFormat="1" ht="15" customHeight="1">
      <c r="B318" s="48"/>
      <c r="C318" s="48"/>
      <c r="D318" s="48"/>
      <c r="E318" s="48"/>
      <c r="F318" s="48"/>
      <c r="G318" s="48"/>
      <c r="H318" s="48"/>
      <c r="I318" s="48"/>
      <c r="J318" s="48"/>
      <c r="K318" s="48"/>
      <c r="L318" s="48"/>
      <c r="M318" s="48"/>
      <c r="N318" s="48"/>
      <c r="O318" s="48"/>
      <c r="P318" s="48"/>
      <c r="Q318" s="48"/>
      <c r="R318" s="48"/>
      <c r="S318" s="48"/>
      <c r="T318" s="48"/>
      <c r="U318" s="48"/>
      <c r="V318" s="48"/>
    </row>
    <row r="319" spans="2:22" s="46" customFormat="1" ht="15" customHeight="1">
      <c r="B319" s="48"/>
      <c r="C319" s="48"/>
      <c r="D319" s="48"/>
      <c r="E319" s="48"/>
      <c r="F319" s="48"/>
      <c r="G319" s="48"/>
      <c r="H319" s="48"/>
      <c r="I319" s="48"/>
      <c r="J319" s="48"/>
      <c r="K319" s="48"/>
      <c r="L319" s="48"/>
      <c r="M319" s="48"/>
      <c r="N319" s="48"/>
      <c r="O319" s="48"/>
      <c r="P319" s="48"/>
      <c r="Q319" s="48"/>
      <c r="R319" s="48"/>
      <c r="S319" s="48"/>
      <c r="T319" s="48"/>
      <c r="U319" s="48"/>
      <c r="V319" s="48"/>
    </row>
    <row r="320" spans="2:22" s="46" customFormat="1" ht="15" customHeight="1">
      <c r="B320" s="48"/>
      <c r="C320" s="48"/>
      <c r="D320" s="48"/>
      <c r="E320" s="48"/>
      <c r="F320" s="48"/>
      <c r="G320" s="48"/>
      <c r="H320" s="48"/>
      <c r="I320" s="48"/>
      <c r="J320" s="48"/>
      <c r="K320" s="48"/>
      <c r="L320" s="48"/>
      <c r="M320" s="48"/>
      <c r="N320" s="48"/>
      <c r="O320" s="48"/>
      <c r="P320" s="48"/>
      <c r="Q320" s="48"/>
      <c r="R320" s="48"/>
      <c r="S320" s="48"/>
      <c r="T320" s="48"/>
      <c r="U320" s="48"/>
      <c r="V320" s="48"/>
    </row>
    <row r="321" spans="2:22" s="46" customFormat="1" ht="15" customHeight="1">
      <c r="B321" s="48"/>
      <c r="C321" s="48"/>
      <c r="D321" s="48"/>
      <c r="E321" s="48"/>
      <c r="F321" s="48"/>
      <c r="G321" s="48"/>
      <c r="H321" s="48"/>
      <c r="I321" s="48"/>
      <c r="J321" s="48"/>
      <c r="K321" s="48"/>
      <c r="L321" s="48"/>
      <c r="M321" s="48"/>
      <c r="N321" s="48"/>
      <c r="O321" s="48"/>
      <c r="P321" s="48"/>
      <c r="Q321" s="48"/>
      <c r="R321" s="48"/>
      <c r="S321" s="48"/>
      <c r="T321" s="48"/>
      <c r="U321" s="48"/>
      <c r="V321" s="48"/>
    </row>
    <row r="322" spans="2:22" s="46" customFormat="1" ht="15" customHeight="1">
      <c r="B322" s="48"/>
      <c r="C322" s="48"/>
      <c r="D322" s="48"/>
      <c r="E322" s="48"/>
      <c r="F322" s="48"/>
      <c r="G322" s="48"/>
      <c r="H322" s="48"/>
      <c r="I322" s="48"/>
      <c r="J322" s="48"/>
      <c r="K322" s="48"/>
      <c r="L322" s="48"/>
      <c r="M322" s="48"/>
      <c r="N322" s="48"/>
      <c r="O322" s="48"/>
      <c r="P322" s="48"/>
      <c r="Q322" s="48"/>
      <c r="R322" s="48"/>
      <c r="S322" s="48"/>
      <c r="T322" s="48"/>
      <c r="U322" s="48"/>
      <c r="V322" s="48"/>
    </row>
    <row r="323" spans="2:22" s="46" customFormat="1" ht="15" customHeight="1">
      <c r="B323" s="48"/>
      <c r="C323" s="48"/>
      <c r="D323" s="48"/>
      <c r="E323" s="48"/>
      <c r="F323" s="48"/>
      <c r="G323" s="48"/>
      <c r="H323" s="48"/>
      <c r="I323" s="48"/>
      <c r="J323" s="48"/>
      <c r="K323" s="48"/>
      <c r="L323" s="48"/>
      <c r="M323" s="48"/>
      <c r="N323" s="48"/>
      <c r="O323" s="48"/>
      <c r="P323" s="48"/>
      <c r="Q323" s="48"/>
      <c r="R323" s="48"/>
      <c r="S323" s="48"/>
      <c r="T323" s="48"/>
      <c r="U323" s="48"/>
      <c r="V323" s="48"/>
    </row>
    <row r="324" spans="2:22" s="46" customFormat="1" ht="15" customHeight="1">
      <c r="B324" s="48"/>
      <c r="C324" s="48"/>
      <c r="D324" s="48"/>
      <c r="E324" s="48"/>
      <c r="F324" s="48"/>
      <c r="G324" s="48"/>
      <c r="H324" s="48"/>
      <c r="I324" s="48"/>
      <c r="J324" s="48"/>
      <c r="K324" s="48"/>
      <c r="L324" s="48"/>
      <c r="M324" s="48"/>
      <c r="N324" s="48"/>
      <c r="O324" s="48"/>
      <c r="P324" s="48"/>
      <c r="Q324" s="48"/>
      <c r="R324" s="48"/>
      <c r="S324" s="48"/>
      <c r="T324" s="48"/>
      <c r="U324" s="48"/>
      <c r="V324" s="48"/>
    </row>
    <row r="325" spans="2:22" s="46" customFormat="1" ht="15" customHeight="1">
      <c r="B325" s="48"/>
      <c r="C325" s="48"/>
      <c r="D325" s="48"/>
      <c r="E325" s="48"/>
      <c r="F325" s="48"/>
      <c r="G325" s="48"/>
      <c r="H325" s="48"/>
      <c r="I325" s="48"/>
      <c r="J325" s="48"/>
      <c r="K325" s="48"/>
      <c r="L325" s="48"/>
      <c r="M325" s="48"/>
      <c r="N325" s="48"/>
      <c r="O325" s="48"/>
      <c r="P325" s="48"/>
      <c r="Q325" s="48"/>
      <c r="R325" s="48"/>
      <c r="S325" s="48"/>
      <c r="T325" s="48"/>
      <c r="U325" s="48"/>
      <c r="V325" s="48"/>
    </row>
    <row r="326" spans="2:22" s="46" customFormat="1" ht="15" customHeight="1">
      <c r="B326" s="48"/>
      <c r="C326" s="48"/>
      <c r="D326" s="48"/>
      <c r="E326" s="48"/>
      <c r="F326" s="48"/>
      <c r="G326" s="48"/>
      <c r="H326" s="48"/>
      <c r="I326" s="48"/>
      <c r="J326" s="48"/>
      <c r="K326" s="48"/>
      <c r="L326" s="48"/>
      <c r="M326" s="48"/>
      <c r="N326" s="48"/>
      <c r="O326" s="48"/>
      <c r="P326" s="48"/>
      <c r="Q326" s="48"/>
      <c r="R326" s="48"/>
      <c r="S326" s="48"/>
      <c r="T326" s="48"/>
      <c r="U326" s="48"/>
      <c r="V326" s="48"/>
    </row>
    <row r="327" spans="2:22" s="46" customFormat="1" ht="15" customHeight="1">
      <c r="B327" s="48"/>
      <c r="C327" s="48"/>
      <c r="D327" s="48"/>
      <c r="E327" s="48"/>
      <c r="F327" s="48"/>
      <c r="G327" s="48"/>
      <c r="H327" s="48"/>
      <c r="I327" s="48"/>
      <c r="J327" s="48"/>
      <c r="K327" s="48"/>
      <c r="L327" s="48"/>
      <c r="M327" s="48"/>
      <c r="N327" s="48"/>
      <c r="O327" s="48"/>
      <c r="P327" s="48"/>
      <c r="Q327" s="48"/>
      <c r="R327" s="48"/>
      <c r="S327" s="48"/>
      <c r="T327" s="48"/>
      <c r="U327" s="48"/>
      <c r="V327" s="48"/>
    </row>
    <row r="328" spans="2:22" s="46" customFormat="1" ht="15" customHeight="1">
      <c r="B328" s="48"/>
      <c r="C328" s="48"/>
      <c r="D328" s="48"/>
      <c r="E328" s="48"/>
      <c r="F328" s="48"/>
      <c r="G328" s="48"/>
      <c r="H328" s="48"/>
      <c r="I328" s="48"/>
      <c r="J328" s="48"/>
      <c r="K328" s="48"/>
      <c r="L328" s="48"/>
      <c r="M328" s="48"/>
      <c r="N328" s="48"/>
      <c r="O328" s="48"/>
      <c r="P328" s="48"/>
      <c r="Q328" s="48"/>
      <c r="R328" s="48"/>
      <c r="S328" s="48"/>
      <c r="T328" s="48"/>
      <c r="U328" s="48"/>
      <c r="V328" s="48"/>
    </row>
    <row r="329" spans="2:22" s="46" customFormat="1" ht="15" customHeight="1">
      <c r="B329" s="48"/>
      <c r="C329" s="48"/>
      <c r="D329" s="48"/>
      <c r="E329" s="48"/>
      <c r="F329" s="48"/>
      <c r="G329" s="48"/>
      <c r="H329" s="48"/>
      <c r="I329" s="48"/>
      <c r="J329" s="48"/>
      <c r="K329" s="48"/>
      <c r="L329" s="48"/>
      <c r="M329" s="48"/>
      <c r="N329" s="48"/>
      <c r="O329" s="48"/>
      <c r="P329" s="48"/>
      <c r="Q329" s="48"/>
      <c r="R329" s="48"/>
      <c r="S329" s="48"/>
      <c r="T329" s="48"/>
      <c r="U329" s="48"/>
      <c r="V329" s="48"/>
    </row>
    <row r="330" spans="2:22" s="46" customFormat="1" ht="15" customHeight="1">
      <c r="B330" s="48"/>
      <c r="C330" s="48"/>
      <c r="D330" s="48"/>
      <c r="E330" s="48"/>
      <c r="F330" s="48"/>
      <c r="G330" s="48"/>
      <c r="H330" s="48"/>
      <c r="I330" s="48"/>
      <c r="J330" s="48"/>
      <c r="K330" s="48"/>
      <c r="L330" s="48"/>
      <c r="M330" s="48"/>
      <c r="N330" s="48"/>
      <c r="O330" s="48"/>
      <c r="P330" s="48"/>
      <c r="Q330" s="48"/>
      <c r="R330" s="48"/>
      <c r="S330" s="48"/>
      <c r="T330" s="48"/>
      <c r="U330" s="48"/>
      <c r="V330" s="48"/>
    </row>
    <row r="331" spans="2:22" s="46" customFormat="1" ht="15" customHeight="1">
      <c r="B331" s="48"/>
      <c r="C331" s="48"/>
      <c r="D331" s="48"/>
      <c r="E331" s="48"/>
      <c r="F331" s="48"/>
      <c r="G331" s="48"/>
      <c r="H331" s="48"/>
      <c r="I331" s="48"/>
      <c r="J331" s="48"/>
      <c r="K331" s="48"/>
      <c r="L331" s="48"/>
      <c r="M331" s="48"/>
      <c r="N331" s="48"/>
      <c r="O331" s="48"/>
      <c r="P331" s="48"/>
      <c r="Q331" s="48"/>
      <c r="R331" s="48"/>
      <c r="S331" s="48"/>
      <c r="T331" s="48"/>
      <c r="U331" s="48"/>
      <c r="V331" s="48"/>
    </row>
    <row r="332" spans="2:22" s="46" customFormat="1" ht="15" customHeight="1">
      <c r="B332" s="48"/>
      <c r="C332" s="48"/>
      <c r="D332" s="48"/>
      <c r="E332" s="48"/>
      <c r="F332" s="48"/>
      <c r="G332" s="48"/>
      <c r="H332" s="48"/>
      <c r="I332" s="48"/>
      <c r="J332" s="48"/>
      <c r="K332" s="48"/>
      <c r="L332" s="48"/>
      <c r="M332" s="48"/>
      <c r="N332" s="48"/>
      <c r="O332" s="48"/>
      <c r="P332" s="48"/>
      <c r="Q332" s="48"/>
      <c r="R332" s="48"/>
      <c r="S332" s="48"/>
      <c r="T332" s="48"/>
      <c r="U332" s="48"/>
      <c r="V332" s="48"/>
    </row>
    <row r="333" spans="2:22" s="46" customFormat="1" ht="15" customHeight="1">
      <c r="B333" s="48"/>
      <c r="C333" s="48"/>
      <c r="D333" s="48"/>
      <c r="E333" s="48"/>
      <c r="F333" s="48"/>
      <c r="G333" s="48"/>
      <c r="H333" s="48"/>
      <c r="I333" s="48"/>
      <c r="J333" s="48"/>
      <c r="K333" s="48"/>
      <c r="L333" s="48"/>
      <c r="M333" s="48"/>
      <c r="N333" s="48"/>
      <c r="O333" s="48"/>
      <c r="P333" s="48"/>
      <c r="Q333" s="48"/>
      <c r="R333" s="48"/>
      <c r="S333" s="48"/>
      <c r="T333" s="48"/>
      <c r="U333" s="48"/>
      <c r="V333" s="48"/>
    </row>
    <row r="334" spans="2:22" s="46" customFormat="1" ht="15" customHeight="1">
      <c r="B334" s="48"/>
      <c r="C334" s="48"/>
      <c r="D334" s="48"/>
      <c r="E334" s="48"/>
      <c r="F334" s="48"/>
      <c r="G334" s="48"/>
      <c r="H334" s="48"/>
      <c r="I334" s="48"/>
      <c r="J334" s="48"/>
      <c r="K334" s="48"/>
      <c r="L334" s="48"/>
      <c r="M334" s="48"/>
      <c r="N334" s="48"/>
      <c r="O334" s="48"/>
      <c r="P334" s="48"/>
      <c r="Q334" s="48"/>
      <c r="R334" s="48"/>
      <c r="S334" s="48"/>
      <c r="T334" s="48"/>
      <c r="U334" s="48"/>
      <c r="V334" s="48"/>
    </row>
    <row r="335" spans="2:22" s="46" customFormat="1" ht="15" customHeight="1">
      <c r="B335" s="48"/>
      <c r="C335" s="48"/>
      <c r="D335" s="48"/>
      <c r="E335" s="48"/>
      <c r="F335" s="48"/>
      <c r="G335" s="48"/>
      <c r="H335" s="48"/>
      <c r="I335" s="48"/>
      <c r="J335" s="48"/>
      <c r="K335" s="48"/>
      <c r="L335" s="48"/>
      <c r="M335" s="48"/>
      <c r="N335" s="48"/>
      <c r="O335" s="48"/>
      <c r="P335" s="48"/>
      <c r="Q335" s="48"/>
      <c r="R335" s="48"/>
      <c r="S335" s="48"/>
      <c r="T335" s="48"/>
      <c r="U335" s="48"/>
      <c r="V335" s="48"/>
    </row>
    <row r="336" spans="2:22" s="46" customFormat="1" ht="15" customHeight="1">
      <c r="B336" s="48"/>
      <c r="C336" s="48"/>
      <c r="D336" s="48"/>
      <c r="E336" s="48"/>
      <c r="F336" s="48"/>
      <c r="G336" s="48"/>
      <c r="H336" s="48"/>
      <c r="I336" s="48"/>
      <c r="J336" s="48"/>
      <c r="K336" s="48"/>
      <c r="L336" s="48"/>
      <c r="M336" s="48"/>
      <c r="N336" s="48"/>
      <c r="O336" s="48"/>
      <c r="P336" s="48"/>
      <c r="Q336" s="48"/>
      <c r="R336" s="48"/>
      <c r="S336" s="48"/>
      <c r="T336" s="48"/>
      <c r="U336" s="48"/>
      <c r="V336" s="48"/>
    </row>
    <row r="337" spans="2:22" s="46" customFormat="1" ht="15" customHeight="1">
      <c r="B337" s="48"/>
      <c r="C337" s="48"/>
      <c r="D337" s="48"/>
      <c r="E337" s="48"/>
      <c r="F337" s="48"/>
      <c r="G337" s="48"/>
      <c r="H337" s="48"/>
      <c r="I337" s="48"/>
      <c r="J337" s="48"/>
      <c r="K337" s="48"/>
      <c r="L337" s="48"/>
      <c r="M337" s="48"/>
      <c r="N337" s="48"/>
      <c r="O337" s="48"/>
      <c r="P337" s="48"/>
      <c r="Q337" s="48"/>
      <c r="R337" s="48"/>
      <c r="S337" s="48"/>
      <c r="T337" s="48"/>
      <c r="U337" s="48"/>
      <c r="V337" s="48"/>
    </row>
    <row r="338" spans="2:22" s="46" customFormat="1" ht="15" customHeight="1">
      <c r="B338" s="48"/>
      <c r="C338" s="48"/>
      <c r="D338" s="48"/>
      <c r="E338" s="48"/>
      <c r="F338" s="48"/>
      <c r="G338" s="48"/>
      <c r="H338" s="48"/>
      <c r="I338" s="48"/>
      <c r="J338" s="48"/>
      <c r="K338" s="48"/>
      <c r="L338" s="48"/>
      <c r="M338" s="48"/>
      <c r="N338" s="48"/>
      <c r="O338" s="48"/>
      <c r="P338" s="48"/>
      <c r="Q338" s="48"/>
      <c r="R338" s="48"/>
      <c r="S338" s="48"/>
      <c r="T338" s="48"/>
      <c r="U338" s="48"/>
      <c r="V338" s="48"/>
    </row>
    <row r="339" spans="2:22" s="46" customFormat="1" ht="15" customHeight="1">
      <c r="B339" s="48"/>
      <c r="C339" s="48"/>
      <c r="D339" s="48"/>
      <c r="E339" s="48"/>
      <c r="F339" s="48"/>
      <c r="G339" s="48"/>
      <c r="H339" s="48"/>
      <c r="I339" s="48"/>
      <c r="J339" s="48"/>
      <c r="K339" s="48"/>
      <c r="L339" s="48"/>
      <c r="M339" s="48"/>
      <c r="N339" s="48"/>
      <c r="O339" s="48"/>
      <c r="P339" s="48"/>
      <c r="Q339" s="48"/>
      <c r="R339" s="48"/>
      <c r="S339" s="48"/>
      <c r="T339" s="48"/>
      <c r="U339" s="48"/>
      <c r="V339" s="48"/>
    </row>
    <row r="340" spans="2:22" s="46" customFormat="1" ht="15" customHeight="1">
      <c r="B340" s="48"/>
      <c r="C340" s="48"/>
      <c r="D340" s="48"/>
      <c r="E340" s="48"/>
      <c r="F340" s="48"/>
      <c r="G340" s="48"/>
      <c r="H340" s="48"/>
      <c r="I340" s="48"/>
      <c r="J340" s="48"/>
      <c r="K340" s="48"/>
      <c r="L340" s="48"/>
      <c r="M340" s="48"/>
      <c r="N340" s="48"/>
      <c r="O340" s="48"/>
      <c r="P340" s="48"/>
      <c r="Q340" s="48"/>
      <c r="R340" s="48"/>
      <c r="S340" s="48"/>
      <c r="T340" s="48"/>
      <c r="U340" s="48"/>
      <c r="V340" s="48"/>
    </row>
    <row r="341" spans="2:22" s="46" customFormat="1" ht="15" customHeight="1">
      <c r="B341" s="48"/>
      <c r="C341" s="48"/>
      <c r="D341" s="48"/>
      <c r="E341" s="48"/>
      <c r="F341" s="48"/>
      <c r="G341" s="48"/>
      <c r="H341" s="48"/>
      <c r="I341" s="48"/>
      <c r="J341" s="48"/>
      <c r="K341" s="48"/>
      <c r="L341" s="48"/>
      <c r="M341" s="48"/>
      <c r="N341" s="48"/>
      <c r="O341" s="48"/>
      <c r="P341" s="48"/>
      <c r="Q341" s="48"/>
      <c r="R341" s="48"/>
      <c r="S341" s="48"/>
      <c r="T341" s="48"/>
      <c r="U341" s="48"/>
      <c r="V341" s="48"/>
    </row>
    <row r="342" spans="2:22" s="46" customFormat="1" ht="15" customHeight="1">
      <c r="B342" s="48"/>
      <c r="C342" s="48"/>
      <c r="D342" s="48"/>
      <c r="E342" s="48"/>
      <c r="F342" s="48"/>
      <c r="G342" s="48"/>
      <c r="H342" s="48"/>
      <c r="I342" s="48"/>
      <c r="J342" s="48"/>
      <c r="K342" s="48"/>
      <c r="L342" s="48"/>
      <c r="M342" s="48"/>
      <c r="N342" s="48"/>
      <c r="O342" s="48"/>
      <c r="P342" s="48"/>
      <c r="Q342" s="48"/>
      <c r="R342" s="48"/>
      <c r="S342" s="48"/>
      <c r="T342" s="48"/>
      <c r="U342" s="48"/>
      <c r="V342" s="48"/>
    </row>
    <row r="343" spans="2:22" s="46" customFormat="1" ht="15" customHeight="1">
      <c r="B343" s="48"/>
      <c r="C343" s="48"/>
      <c r="D343" s="48"/>
      <c r="E343" s="48"/>
      <c r="F343" s="48"/>
      <c r="G343" s="48"/>
      <c r="H343" s="48"/>
      <c r="I343" s="48"/>
      <c r="J343" s="48"/>
      <c r="K343" s="48"/>
      <c r="L343" s="48"/>
      <c r="M343" s="48"/>
      <c r="N343" s="48"/>
      <c r="O343" s="48"/>
      <c r="P343" s="48"/>
      <c r="Q343" s="48"/>
      <c r="R343" s="48"/>
      <c r="S343" s="48"/>
      <c r="T343" s="48"/>
      <c r="U343" s="48"/>
      <c r="V343" s="48"/>
    </row>
    <row r="344" spans="2:22" s="46" customFormat="1" ht="15" customHeight="1">
      <c r="B344" s="48"/>
      <c r="C344" s="48"/>
      <c r="D344" s="48"/>
      <c r="E344" s="48"/>
      <c r="F344" s="48"/>
      <c r="G344" s="48"/>
      <c r="H344" s="48"/>
      <c r="I344" s="48"/>
      <c r="J344" s="48"/>
      <c r="K344" s="48"/>
      <c r="L344" s="48"/>
      <c r="M344" s="48"/>
      <c r="N344" s="48"/>
      <c r="O344" s="48"/>
      <c r="P344" s="48"/>
      <c r="Q344" s="48"/>
      <c r="R344" s="48"/>
      <c r="S344" s="48"/>
      <c r="T344" s="48"/>
      <c r="U344" s="48"/>
      <c r="V344" s="48"/>
    </row>
    <row r="345" spans="2:22" s="46" customFormat="1" ht="15" customHeight="1">
      <c r="B345" s="48"/>
      <c r="C345" s="48"/>
      <c r="D345" s="48"/>
      <c r="E345" s="48"/>
      <c r="F345" s="48"/>
      <c r="G345" s="48"/>
      <c r="H345" s="48"/>
      <c r="I345" s="48"/>
      <c r="J345" s="48"/>
      <c r="K345" s="48"/>
      <c r="L345" s="48"/>
      <c r="M345" s="48"/>
      <c r="N345" s="48"/>
      <c r="O345" s="48"/>
      <c r="P345" s="48"/>
      <c r="Q345" s="48"/>
      <c r="R345" s="48"/>
      <c r="S345" s="48"/>
      <c r="T345" s="48"/>
      <c r="U345" s="48"/>
      <c r="V345" s="48"/>
    </row>
    <row r="346" spans="2:22" s="46" customFormat="1" ht="15" customHeight="1">
      <c r="B346" s="48"/>
      <c r="C346" s="48"/>
      <c r="D346" s="48"/>
      <c r="E346" s="48"/>
      <c r="F346" s="48"/>
      <c r="G346" s="48"/>
      <c r="H346" s="48"/>
      <c r="I346" s="48"/>
      <c r="J346" s="48"/>
      <c r="K346" s="48"/>
      <c r="L346" s="48"/>
      <c r="M346" s="48"/>
      <c r="N346" s="48"/>
      <c r="O346" s="48"/>
      <c r="P346" s="48"/>
      <c r="Q346" s="48"/>
      <c r="R346" s="48"/>
      <c r="S346" s="48"/>
      <c r="T346" s="48"/>
      <c r="U346" s="48"/>
      <c r="V346" s="48"/>
    </row>
    <row r="347" spans="2:22" s="46" customFormat="1" ht="15" customHeight="1">
      <c r="B347" s="48"/>
      <c r="C347" s="48"/>
      <c r="D347" s="48"/>
      <c r="E347" s="48"/>
      <c r="F347" s="48"/>
      <c r="G347" s="48"/>
      <c r="H347" s="48"/>
      <c r="I347" s="48"/>
      <c r="J347" s="48"/>
      <c r="K347" s="48"/>
      <c r="L347" s="48"/>
      <c r="M347" s="48"/>
      <c r="N347" s="48"/>
      <c r="O347" s="48"/>
      <c r="P347" s="48"/>
      <c r="Q347" s="48"/>
      <c r="R347" s="48"/>
      <c r="S347" s="48"/>
      <c r="T347" s="48"/>
      <c r="U347" s="48"/>
      <c r="V347" s="48"/>
    </row>
    <row r="348" spans="2:22" s="46" customFormat="1" ht="15" customHeight="1">
      <c r="B348" s="48"/>
      <c r="C348" s="48"/>
      <c r="D348" s="48"/>
      <c r="E348" s="48"/>
      <c r="F348" s="48"/>
      <c r="G348" s="48"/>
      <c r="H348" s="48"/>
      <c r="I348" s="48"/>
      <c r="J348" s="48"/>
      <c r="K348" s="48"/>
      <c r="L348" s="48"/>
      <c r="M348" s="48"/>
      <c r="N348" s="48"/>
      <c r="O348" s="48"/>
      <c r="P348" s="48"/>
      <c r="Q348" s="48"/>
      <c r="R348" s="48"/>
      <c r="S348" s="48"/>
      <c r="T348" s="48"/>
      <c r="U348" s="48"/>
      <c r="V348" s="48"/>
    </row>
    <row r="349" spans="2:22" s="46" customFormat="1" ht="15" customHeight="1">
      <c r="B349" s="48"/>
      <c r="C349" s="48"/>
      <c r="D349" s="48"/>
      <c r="E349" s="48"/>
      <c r="F349" s="48"/>
      <c r="G349" s="48"/>
      <c r="H349" s="48"/>
      <c r="I349" s="48"/>
      <c r="J349" s="48"/>
      <c r="K349" s="48"/>
      <c r="L349" s="48"/>
      <c r="M349" s="48"/>
      <c r="N349" s="48"/>
      <c r="O349" s="48"/>
      <c r="P349" s="48"/>
      <c r="Q349" s="48"/>
      <c r="R349" s="48"/>
      <c r="S349" s="48"/>
      <c r="T349" s="48"/>
      <c r="U349" s="48"/>
      <c r="V349" s="48"/>
    </row>
    <row r="350" spans="2:22" s="46" customFormat="1" ht="15" customHeight="1">
      <c r="B350" s="48"/>
      <c r="C350" s="48"/>
      <c r="D350" s="48"/>
      <c r="E350" s="48"/>
      <c r="F350" s="48"/>
      <c r="G350" s="48"/>
      <c r="H350" s="48"/>
      <c r="I350" s="48"/>
      <c r="J350" s="48"/>
      <c r="K350" s="48"/>
      <c r="L350" s="48"/>
      <c r="M350" s="48"/>
      <c r="N350" s="48"/>
      <c r="O350" s="48"/>
      <c r="P350" s="48"/>
      <c r="Q350" s="48"/>
      <c r="R350" s="48"/>
      <c r="S350" s="48"/>
      <c r="T350" s="48"/>
      <c r="U350" s="48"/>
      <c r="V350" s="48"/>
    </row>
    <row r="351" spans="2:22" s="46" customFormat="1" ht="15" customHeight="1">
      <c r="B351" s="48"/>
      <c r="C351" s="48"/>
      <c r="D351" s="48"/>
      <c r="E351" s="48"/>
      <c r="F351" s="48"/>
      <c r="G351" s="48"/>
      <c r="H351" s="48"/>
      <c r="I351" s="48"/>
      <c r="J351" s="48"/>
      <c r="K351" s="48"/>
      <c r="L351" s="48"/>
      <c r="M351" s="48"/>
      <c r="N351" s="48"/>
      <c r="O351" s="48"/>
      <c r="P351" s="48"/>
      <c r="Q351" s="48"/>
      <c r="R351" s="48"/>
      <c r="S351" s="48"/>
      <c r="T351" s="48"/>
      <c r="U351" s="48"/>
      <c r="V351" s="48"/>
    </row>
    <row r="352" spans="2:22" s="46" customFormat="1" ht="15" customHeight="1">
      <c r="B352" s="48"/>
      <c r="C352" s="48"/>
      <c r="D352" s="48"/>
      <c r="E352" s="48"/>
      <c r="F352" s="48"/>
      <c r="G352" s="48"/>
      <c r="H352" s="48"/>
      <c r="I352" s="48"/>
      <c r="J352" s="48"/>
      <c r="K352" s="48"/>
      <c r="L352" s="48"/>
      <c r="M352" s="48"/>
      <c r="N352" s="48"/>
      <c r="O352" s="48"/>
      <c r="P352" s="48"/>
      <c r="Q352" s="48"/>
      <c r="R352" s="48"/>
      <c r="S352" s="48"/>
      <c r="T352" s="48"/>
      <c r="U352" s="48"/>
      <c r="V352" s="48"/>
    </row>
    <row r="353" spans="2:22" s="46" customFormat="1" ht="15" customHeight="1">
      <c r="B353" s="48"/>
      <c r="C353" s="48"/>
      <c r="D353" s="48"/>
      <c r="E353" s="48"/>
      <c r="F353" s="48"/>
      <c r="G353" s="48"/>
      <c r="H353" s="48"/>
      <c r="I353" s="48"/>
      <c r="J353" s="48"/>
      <c r="K353" s="48"/>
      <c r="L353" s="48"/>
      <c r="M353" s="48"/>
      <c r="N353" s="48"/>
      <c r="O353" s="48"/>
      <c r="P353" s="48"/>
      <c r="Q353" s="48"/>
      <c r="R353" s="48"/>
      <c r="S353" s="48"/>
      <c r="T353" s="48"/>
      <c r="U353" s="48"/>
      <c r="V353" s="48"/>
    </row>
    <row r="354" spans="2:22" s="46" customFormat="1" ht="15" customHeight="1">
      <c r="B354" s="48"/>
      <c r="C354" s="48"/>
      <c r="D354" s="48"/>
      <c r="E354" s="48"/>
      <c r="F354" s="48"/>
      <c r="G354" s="48"/>
      <c r="H354" s="48"/>
      <c r="I354" s="48"/>
      <c r="J354" s="48"/>
      <c r="K354" s="48"/>
      <c r="L354" s="48"/>
      <c r="M354" s="48"/>
      <c r="N354" s="48"/>
      <c r="O354" s="48"/>
      <c r="P354" s="48"/>
      <c r="Q354" s="48"/>
      <c r="R354" s="48"/>
      <c r="S354" s="48"/>
      <c r="T354" s="48"/>
      <c r="U354" s="48"/>
      <c r="V354" s="48"/>
    </row>
    <row r="355" spans="2:22" s="46" customFormat="1" ht="15" customHeight="1">
      <c r="B355" s="48"/>
      <c r="C355" s="48"/>
      <c r="D355" s="48"/>
      <c r="E355" s="48"/>
      <c r="F355" s="48"/>
      <c r="G355" s="48"/>
      <c r="H355" s="48"/>
      <c r="I355" s="48"/>
      <c r="J355" s="48"/>
      <c r="K355" s="48"/>
      <c r="L355" s="48"/>
      <c r="M355" s="48"/>
      <c r="N355" s="48"/>
      <c r="O355" s="48"/>
      <c r="P355" s="48"/>
      <c r="Q355" s="48"/>
      <c r="R355" s="48"/>
      <c r="S355" s="48"/>
      <c r="T355" s="48"/>
      <c r="U355" s="48"/>
      <c r="V355" s="48"/>
    </row>
    <row r="356" spans="2:22" s="46" customFormat="1" ht="15" customHeight="1">
      <c r="B356" s="48"/>
      <c r="C356" s="48"/>
      <c r="D356" s="48"/>
      <c r="E356" s="48"/>
      <c r="F356" s="48"/>
      <c r="G356" s="48"/>
      <c r="H356" s="48"/>
      <c r="I356" s="48"/>
      <c r="J356" s="48"/>
      <c r="K356" s="48"/>
      <c r="L356" s="48"/>
      <c r="M356" s="48"/>
      <c r="N356" s="48"/>
      <c r="O356" s="48"/>
      <c r="P356" s="48"/>
      <c r="Q356" s="48"/>
      <c r="R356" s="48"/>
      <c r="S356" s="48"/>
      <c r="T356" s="48"/>
      <c r="U356" s="48"/>
      <c r="V356" s="48"/>
    </row>
    <row r="357" spans="2:22" s="46" customFormat="1" ht="15" customHeight="1">
      <c r="B357" s="48"/>
      <c r="C357" s="48"/>
      <c r="D357" s="48"/>
      <c r="E357" s="48"/>
      <c r="F357" s="48"/>
      <c r="G357" s="48"/>
      <c r="H357" s="48"/>
      <c r="I357" s="48"/>
      <c r="J357" s="48"/>
      <c r="K357" s="48"/>
      <c r="L357" s="48"/>
      <c r="M357" s="48"/>
      <c r="N357" s="48"/>
      <c r="O357" s="48"/>
      <c r="P357" s="48"/>
      <c r="Q357" s="48"/>
      <c r="R357" s="48"/>
      <c r="S357" s="48"/>
      <c r="T357" s="48"/>
      <c r="U357" s="48"/>
      <c r="V357" s="48"/>
    </row>
    <row r="358" spans="2:22" s="46" customFormat="1" ht="15" customHeight="1">
      <c r="B358" s="48"/>
      <c r="C358" s="48"/>
      <c r="D358" s="48"/>
      <c r="E358" s="48"/>
      <c r="F358" s="48"/>
      <c r="G358" s="48"/>
      <c r="H358" s="48"/>
      <c r="I358" s="48"/>
      <c r="J358" s="48"/>
      <c r="K358" s="48"/>
      <c r="L358" s="48"/>
      <c r="M358" s="48"/>
      <c r="N358" s="48"/>
      <c r="O358" s="48"/>
      <c r="P358" s="48"/>
      <c r="Q358" s="48"/>
      <c r="R358" s="48"/>
      <c r="S358" s="48"/>
      <c r="T358" s="48"/>
      <c r="U358" s="48"/>
      <c r="V358" s="48"/>
    </row>
    <row r="359" spans="2:22" s="46" customFormat="1" ht="15" customHeight="1">
      <c r="B359" s="48"/>
      <c r="C359" s="48"/>
      <c r="D359" s="48"/>
      <c r="E359" s="48"/>
      <c r="F359" s="48"/>
      <c r="G359" s="48"/>
      <c r="H359" s="48"/>
      <c r="I359" s="48"/>
      <c r="J359" s="48"/>
      <c r="K359" s="48"/>
      <c r="L359" s="48"/>
      <c r="M359" s="48"/>
      <c r="N359" s="48"/>
      <c r="O359" s="48"/>
      <c r="P359" s="48"/>
      <c r="Q359" s="48"/>
      <c r="R359" s="48"/>
      <c r="S359" s="48"/>
      <c r="T359" s="48"/>
      <c r="U359" s="48"/>
      <c r="V359" s="48"/>
    </row>
    <row r="360" spans="2:22" s="46" customFormat="1" ht="15" customHeight="1">
      <c r="B360" s="48"/>
      <c r="C360" s="48"/>
      <c r="D360" s="48"/>
      <c r="E360" s="48"/>
      <c r="F360" s="48"/>
      <c r="G360" s="48"/>
      <c r="H360" s="48"/>
      <c r="I360" s="48"/>
      <c r="J360" s="48"/>
      <c r="K360" s="48"/>
      <c r="L360" s="48"/>
      <c r="M360" s="48"/>
      <c r="N360" s="48"/>
      <c r="O360" s="48"/>
      <c r="P360" s="48"/>
      <c r="Q360" s="48"/>
      <c r="R360" s="48"/>
      <c r="S360" s="48"/>
      <c r="T360" s="48"/>
      <c r="U360" s="48"/>
      <c r="V360" s="48"/>
    </row>
    <row r="361" spans="2:22" s="46" customFormat="1" ht="15" customHeight="1">
      <c r="B361" s="48"/>
      <c r="C361" s="48"/>
      <c r="D361" s="48"/>
      <c r="E361" s="48"/>
      <c r="F361" s="48"/>
      <c r="G361" s="48"/>
      <c r="H361" s="48"/>
      <c r="I361" s="48"/>
      <c r="J361" s="48"/>
      <c r="K361" s="48"/>
      <c r="L361" s="48"/>
      <c r="M361" s="48"/>
      <c r="N361" s="48"/>
      <c r="O361" s="48"/>
      <c r="P361" s="48"/>
      <c r="Q361" s="48"/>
      <c r="R361" s="48"/>
      <c r="S361" s="48"/>
      <c r="T361" s="48"/>
      <c r="U361" s="48"/>
      <c r="V361" s="48"/>
    </row>
    <row r="362" spans="2:22" s="46" customFormat="1" ht="15" customHeight="1">
      <c r="B362" s="48"/>
      <c r="C362" s="48"/>
      <c r="D362" s="48"/>
      <c r="E362" s="48"/>
      <c r="F362" s="48"/>
      <c r="G362" s="48"/>
      <c r="H362" s="48"/>
      <c r="I362" s="48"/>
      <c r="J362" s="48"/>
      <c r="K362" s="48"/>
      <c r="L362" s="48"/>
      <c r="M362" s="48"/>
      <c r="N362" s="48"/>
      <c r="O362" s="48"/>
      <c r="P362" s="48"/>
      <c r="Q362" s="48"/>
      <c r="R362" s="48"/>
      <c r="S362" s="48"/>
      <c r="T362" s="48"/>
      <c r="U362" s="48"/>
      <c r="V362" s="48"/>
    </row>
    <row r="363" spans="2:22" s="46" customFormat="1" ht="15" customHeight="1">
      <c r="B363" s="48"/>
      <c r="C363" s="48"/>
      <c r="D363" s="48"/>
      <c r="E363" s="48"/>
      <c r="F363" s="48"/>
      <c r="G363" s="48"/>
      <c r="H363" s="48"/>
      <c r="I363" s="48"/>
      <c r="J363" s="48"/>
      <c r="K363" s="48"/>
      <c r="L363" s="48"/>
      <c r="M363" s="48"/>
      <c r="N363" s="48"/>
      <c r="O363" s="48"/>
      <c r="P363" s="48"/>
      <c r="Q363" s="48"/>
      <c r="R363" s="48"/>
      <c r="S363" s="48"/>
      <c r="T363" s="48"/>
      <c r="U363" s="48"/>
      <c r="V363" s="48"/>
    </row>
    <row r="364" spans="2:22" s="46" customFormat="1" ht="15" customHeight="1">
      <c r="B364" s="48"/>
      <c r="C364" s="48"/>
      <c r="D364" s="48"/>
      <c r="E364" s="48"/>
      <c r="F364" s="48"/>
      <c r="G364" s="48"/>
      <c r="H364" s="48"/>
      <c r="I364" s="48"/>
      <c r="J364" s="48"/>
      <c r="K364" s="48"/>
      <c r="L364" s="48"/>
      <c r="M364" s="48"/>
      <c r="N364" s="48"/>
      <c r="O364" s="48"/>
      <c r="P364" s="48"/>
      <c r="Q364" s="48"/>
      <c r="R364" s="48"/>
      <c r="S364" s="48"/>
      <c r="T364" s="48"/>
      <c r="U364" s="48"/>
      <c r="V364" s="48"/>
    </row>
    <row r="365" spans="2:22" s="46" customFormat="1" ht="15" customHeight="1">
      <c r="B365" s="48"/>
      <c r="C365" s="48"/>
      <c r="D365" s="48"/>
      <c r="E365" s="48"/>
      <c r="F365" s="48"/>
      <c r="G365" s="48"/>
      <c r="H365" s="48"/>
      <c r="I365" s="48"/>
      <c r="J365" s="48"/>
      <c r="K365" s="48"/>
      <c r="L365" s="48"/>
      <c r="M365" s="48"/>
      <c r="N365" s="48"/>
      <c r="O365" s="48"/>
      <c r="P365" s="48"/>
      <c r="Q365" s="48"/>
      <c r="R365" s="48"/>
      <c r="S365" s="48"/>
      <c r="T365" s="48"/>
      <c r="U365" s="48"/>
      <c r="V365" s="48"/>
    </row>
    <row r="366" spans="2:22" s="46" customFormat="1" ht="15" customHeight="1">
      <c r="B366" s="48"/>
      <c r="C366" s="48"/>
      <c r="D366" s="48"/>
      <c r="E366" s="48"/>
      <c r="F366" s="48"/>
      <c r="G366" s="48"/>
      <c r="H366" s="48"/>
      <c r="I366" s="48"/>
      <c r="J366" s="48"/>
      <c r="K366" s="48"/>
      <c r="L366" s="48"/>
      <c r="M366" s="48"/>
      <c r="N366" s="48"/>
      <c r="O366" s="48"/>
      <c r="P366" s="48"/>
      <c r="Q366" s="48"/>
      <c r="R366" s="48"/>
      <c r="S366" s="48"/>
      <c r="T366" s="48"/>
      <c r="U366" s="48"/>
      <c r="V366" s="48"/>
    </row>
    <row r="367" spans="2:22" s="46" customFormat="1" ht="15" customHeight="1">
      <c r="B367" s="48"/>
      <c r="C367" s="48"/>
      <c r="D367" s="48"/>
      <c r="E367" s="48"/>
      <c r="F367" s="48"/>
      <c r="G367" s="48"/>
      <c r="H367" s="48"/>
      <c r="I367" s="48"/>
      <c r="J367" s="48"/>
      <c r="K367" s="48"/>
      <c r="L367" s="48"/>
      <c r="M367" s="48"/>
      <c r="N367" s="48"/>
      <c r="O367" s="48"/>
      <c r="P367" s="48"/>
      <c r="Q367" s="48"/>
      <c r="R367" s="48"/>
      <c r="S367" s="48"/>
      <c r="T367" s="48"/>
      <c r="U367" s="48"/>
      <c r="V367" s="48"/>
    </row>
    <row r="368" spans="2:22" s="46" customFormat="1" ht="15" customHeight="1">
      <c r="B368" s="48"/>
      <c r="C368" s="48"/>
      <c r="D368" s="48"/>
      <c r="E368" s="48"/>
      <c r="F368" s="48"/>
      <c r="G368" s="48"/>
      <c r="H368" s="48"/>
      <c r="I368" s="48"/>
      <c r="J368" s="48"/>
      <c r="K368" s="48"/>
      <c r="L368" s="48"/>
      <c r="M368" s="48"/>
      <c r="N368" s="48"/>
      <c r="O368" s="48"/>
      <c r="P368" s="48"/>
      <c r="Q368" s="48"/>
      <c r="R368" s="48"/>
      <c r="S368" s="48"/>
      <c r="T368" s="48"/>
      <c r="U368" s="48"/>
      <c r="V368" s="48"/>
    </row>
    <row r="369" spans="2:22" s="46" customFormat="1" ht="15" customHeight="1">
      <c r="B369" s="48"/>
      <c r="C369" s="48"/>
      <c r="D369" s="48"/>
      <c r="E369" s="48"/>
      <c r="F369" s="48"/>
      <c r="G369" s="48"/>
      <c r="H369" s="48"/>
      <c r="I369" s="48"/>
      <c r="J369" s="48"/>
      <c r="K369" s="48"/>
      <c r="L369" s="48"/>
      <c r="M369" s="48"/>
      <c r="N369" s="48"/>
      <c r="O369" s="48"/>
      <c r="P369" s="48"/>
      <c r="Q369" s="48"/>
      <c r="R369" s="48"/>
      <c r="S369" s="48"/>
      <c r="T369" s="48"/>
      <c r="U369" s="48"/>
      <c r="V369" s="48"/>
    </row>
    <row r="370" spans="2:22" s="46" customFormat="1" ht="15" customHeight="1">
      <c r="B370" s="48"/>
      <c r="C370" s="48"/>
      <c r="D370" s="48"/>
      <c r="E370" s="48"/>
      <c r="F370" s="48"/>
      <c r="G370" s="48"/>
      <c r="H370" s="48"/>
      <c r="I370" s="48"/>
      <c r="J370" s="48"/>
      <c r="K370" s="48"/>
      <c r="L370" s="48"/>
      <c r="M370" s="48"/>
      <c r="N370" s="48"/>
      <c r="O370" s="48"/>
      <c r="P370" s="48"/>
      <c r="Q370" s="48"/>
      <c r="R370" s="48"/>
      <c r="S370" s="48"/>
      <c r="T370" s="48"/>
      <c r="U370" s="48"/>
      <c r="V370" s="48"/>
    </row>
    <row r="371" spans="2:22" s="46" customFormat="1" ht="15" customHeight="1">
      <c r="B371" s="48"/>
      <c r="C371" s="48"/>
      <c r="D371" s="48"/>
      <c r="E371" s="48"/>
      <c r="F371" s="48"/>
      <c r="G371" s="48"/>
      <c r="H371" s="48"/>
      <c r="I371" s="48"/>
      <c r="J371" s="48"/>
      <c r="K371" s="48"/>
      <c r="L371" s="48"/>
      <c r="M371" s="48"/>
      <c r="N371" s="48"/>
      <c r="O371" s="48"/>
      <c r="P371" s="48"/>
      <c r="Q371" s="48"/>
      <c r="R371" s="48"/>
      <c r="S371" s="48"/>
      <c r="T371" s="48"/>
      <c r="U371" s="48"/>
      <c r="V371" s="48"/>
    </row>
    <row r="372" spans="2:22" s="46" customFormat="1" ht="15" customHeight="1">
      <c r="B372" s="48"/>
      <c r="C372" s="48"/>
      <c r="D372" s="48"/>
      <c r="E372" s="48"/>
      <c r="F372" s="48"/>
      <c r="G372" s="48"/>
      <c r="H372" s="48"/>
      <c r="I372" s="48"/>
      <c r="J372" s="48"/>
      <c r="K372" s="48"/>
      <c r="L372" s="48"/>
      <c r="M372" s="48"/>
      <c r="N372" s="48"/>
      <c r="O372" s="48"/>
      <c r="P372" s="48"/>
      <c r="Q372" s="48"/>
      <c r="R372" s="48"/>
      <c r="S372" s="48"/>
      <c r="T372" s="48"/>
      <c r="U372" s="48"/>
      <c r="V372" s="48"/>
    </row>
    <row r="373" spans="2:22" s="46" customFormat="1" ht="15" customHeight="1">
      <c r="B373" s="48"/>
      <c r="C373" s="48"/>
      <c r="D373" s="48"/>
      <c r="E373" s="48"/>
      <c r="F373" s="48"/>
      <c r="G373" s="48"/>
      <c r="H373" s="48"/>
      <c r="I373" s="48"/>
      <c r="J373" s="48"/>
      <c r="K373" s="48"/>
      <c r="L373" s="48"/>
      <c r="M373" s="48"/>
      <c r="N373" s="48"/>
      <c r="O373" s="48"/>
      <c r="P373" s="48"/>
      <c r="Q373" s="48"/>
      <c r="R373" s="48"/>
      <c r="S373" s="48"/>
      <c r="T373" s="48"/>
      <c r="U373" s="48"/>
      <c r="V373" s="48"/>
    </row>
    <row r="374" spans="2:22" s="46" customFormat="1" ht="15" customHeight="1">
      <c r="B374" s="48"/>
      <c r="C374" s="48"/>
      <c r="D374" s="48"/>
      <c r="E374" s="48"/>
      <c r="F374" s="48"/>
      <c r="G374" s="48"/>
      <c r="H374" s="48"/>
      <c r="I374" s="48"/>
      <c r="J374" s="48"/>
      <c r="K374" s="48"/>
      <c r="L374" s="48"/>
      <c r="M374" s="48"/>
      <c r="N374" s="48"/>
      <c r="O374" s="48"/>
      <c r="P374" s="48"/>
      <c r="Q374" s="48"/>
      <c r="R374" s="48"/>
      <c r="S374" s="48"/>
      <c r="T374" s="48"/>
      <c r="U374" s="48"/>
      <c r="V374" s="48"/>
    </row>
    <row r="375" spans="2:22" s="46" customFormat="1" ht="15" customHeight="1">
      <c r="B375" s="48"/>
      <c r="C375" s="48"/>
      <c r="D375" s="48"/>
      <c r="E375" s="48"/>
      <c r="F375" s="48"/>
      <c r="G375" s="48"/>
      <c r="H375" s="48"/>
      <c r="I375" s="48"/>
      <c r="J375" s="48"/>
      <c r="K375" s="48"/>
      <c r="L375" s="48"/>
      <c r="M375" s="48"/>
      <c r="N375" s="48"/>
      <c r="O375" s="48"/>
      <c r="P375" s="48"/>
      <c r="Q375" s="48"/>
      <c r="R375" s="48"/>
      <c r="S375" s="48"/>
      <c r="T375" s="48"/>
      <c r="U375" s="48"/>
      <c r="V375" s="48"/>
    </row>
    <row r="376" spans="2:22" s="46" customFormat="1" ht="15" customHeight="1">
      <c r="B376" s="48"/>
      <c r="C376" s="48"/>
      <c r="D376" s="48"/>
      <c r="E376" s="48"/>
      <c r="F376" s="48"/>
      <c r="G376" s="48"/>
      <c r="H376" s="48"/>
      <c r="I376" s="48"/>
      <c r="J376" s="48"/>
      <c r="K376" s="48"/>
      <c r="L376" s="48"/>
      <c r="M376" s="48"/>
      <c r="N376" s="48"/>
      <c r="O376" s="48"/>
      <c r="P376" s="48"/>
      <c r="Q376" s="48"/>
      <c r="R376" s="48"/>
      <c r="S376" s="48"/>
      <c r="T376" s="48"/>
      <c r="U376" s="48"/>
      <c r="V376" s="48"/>
    </row>
    <row r="377" spans="2:22" s="46" customFormat="1" ht="15" customHeight="1">
      <c r="B377" s="48"/>
      <c r="C377" s="48"/>
      <c r="D377" s="48"/>
      <c r="E377" s="48"/>
      <c r="F377" s="48"/>
      <c r="G377" s="48"/>
      <c r="H377" s="48"/>
      <c r="I377" s="48"/>
      <c r="J377" s="48"/>
      <c r="K377" s="48"/>
      <c r="L377" s="48"/>
      <c r="M377" s="48"/>
      <c r="N377" s="48"/>
      <c r="O377" s="48"/>
      <c r="P377" s="48"/>
      <c r="Q377" s="48"/>
      <c r="R377" s="48"/>
      <c r="S377" s="48"/>
      <c r="T377" s="48"/>
      <c r="U377" s="48"/>
      <c r="V377" s="48"/>
    </row>
    <row r="378" spans="2:22" s="46" customFormat="1" ht="15" customHeight="1">
      <c r="B378" s="48"/>
      <c r="C378" s="48"/>
      <c r="D378" s="48"/>
      <c r="E378" s="48"/>
      <c r="F378" s="48"/>
      <c r="G378" s="48"/>
      <c r="H378" s="48"/>
      <c r="I378" s="48"/>
      <c r="J378" s="48"/>
      <c r="K378" s="48"/>
      <c r="L378" s="48"/>
      <c r="M378" s="48"/>
      <c r="N378" s="48"/>
      <c r="O378" s="48"/>
      <c r="P378" s="48"/>
      <c r="Q378" s="48"/>
      <c r="R378" s="48"/>
      <c r="S378" s="48"/>
      <c r="T378" s="48"/>
      <c r="U378" s="48"/>
      <c r="V378" s="48"/>
    </row>
    <row r="379" spans="2:22" s="46" customFormat="1" ht="15" customHeight="1">
      <c r="B379" s="48"/>
      <c r="C379" s="48"/>
      <c r="D379" s="48"/>
      <c r="E379" s="48"/>
      <c r="F379" s="48"/>
      <c r="G379" s="48"/>
      <c r="H379" s="48"/>
      <c r="I379" s="48"/>
      <c r="J379" s="48"/>
      <c r="K379" s="48"/>
      <c r="L379" s="48"/>
      <c r="M379" s="48"/>
      <c r="N379" s="48"/>
      <c r="O379" s="48"/>
      <c r="P379" s="48"/>
      <c r="Q379" s="48"/>
      <c r="R379" s="48"/>
      <c r="S379" s="48"/>
      <c r="T379" s="48"/>
      <c r="U379" s="48"/>
      <c r="V379" s="48"/>
    </row>
    <row r="380" spans="2:22" s="46" customFormat="1" ht="15" customHeight="1">
      <c r="B380" s="48"/>
      <c r="C380" s="48"/>
      <c r="D380" s="48"/>
      <c r="E380" s="48"/>
      <c r="F380" s="48"/>
      <c r="G380" s="48"/>
      <c r="H380" s="48"/>
      <c r="I380" s="48"/>
      <c r="J380" s="48"/>
      <c r="K380" s="48"/>
      <c r="L380" s="48"/>
      <c r="M380" s="48"/>
      <c r="N380" s="48"/>
      <c r="O380" s="48"/>
      <c r="P380" s="48"/>
      <c r="Q380" s="48"/>
      <c r="R380" s="48"/>
      <c r="S380" s="48"/>
      <c r="T380" s="48"/>
      <c r="U380" s="48"/>
      <c r="V380" s="48"/>
    </row>
    <row r="381" spans="2:22" s="46" customFormat="1" ht="15" customHeight="1">
      <c r="B381" s="48"/>
      <c r="C381" s="48"/>
      <c r="D381" s="48"/>
      <c r="E381" s="48"/>
      <c r="F381" s="48"/>
      <c r="G381" s="48"/>
      <c r="H381" s="48"/>
      <c r="I381" s="48"/>
      <c r="J381" s="48"/>
      <c r="K381" s="48"/>
      <c r="L381" s="48"/>
      <c r="M381" s="48"/>
      <c r="N381" s="48"/>
      <c r="O381" s="48"/>
      <c r="P381" s="48"/>
      <c r="Q381" s="48"/>
      <c r="R381" s="48"/>
      <c r="S381" s="48"/>
      <c r="T381" s="48"/>
      <c r="U381" s="48"/>
      <c r="V381" s="48"/>
    </row>
    <row r="382" spans="2:22" s="46" customFormat="1" ht="15" customHeight="1">
      <c r="B382" s="48"/>
      <c r="C382" s="48"/>
      <c r="D382" s="48"/>
      <c r="E382" s="48"/>
      <c r="F382" s="48"/>
      <c r="G382" s="48"/>
      <c r="H382" s="48"/>
      <c r="I382" s="48"/>
      <c r="J382" s="48"/>
      <c r="K382" s="48"/>
      <c r="L382" s="48"/>
      <c r="M382" s="48"/>
      <c r="N382" s="48"/>
      <c r="O382" s="48"/>
      <c r="P382" s="48"/>
      <c r="Q382" s="48"/>
      <c r="R382" s="48"/>
      <c r="S382" s="48"/>
      <c r="T382" s="48"/>
      <c r="U382" s="48"/>
      <c r="V382" s="48"/>
    </row>
    <row r="383" spans="2:22" s="46" customFormat="1" ht="15" customHeight="1">
      <c r="B383" s="48"/>
      <c r="C383" s="48"/>
      <c r="D383" s="48"/>
      <c r="E383" s="48"/>
      <c r="F383" s="48"/>
      <c r="G383" s="48"/>
      <c r="H383" s="48"/>
      <c r="I383" s="48"/>
      <c r="J383" s="48"/>
      <c r="K383" s="48"/>
      <c r="L383" s="48"/>
      <c r="M383" s="48"/>
      <c r="N383" s="48"/>
      <c r="O383" s="48"/>
      <c r="P383" s="48"/>
      <c r="Q383" s="48"/>
      <c r="R383" s="48"/>
      <c r="S383" s="48"/>
      <c r="T383" s="48"/>
      <c r="U383" s="48"/>
      <c r="V383" s="48"/>
    </row>
    <row r="384" spans="2:22" s="46" customFormat="1" ht="15" customHeight="1">
      <c r="B384" s="48"/>
      <c r="C384" s="48"/>
      <c r="D384" s="48"/>
      <c r="E384" s="48"/>
      <c r="F384" s="48"/>
      <c r="G384" s="48"/>
      <c r="H384" s="48"/>
      <c r="I384" s="48"/>
      <c r="J384" s="48"/>
      <c r="K384" s="48"/>
      <c r="L384" s="48"/>
      <c r="M384" s="48"/>
      <c r="N384" s="48"/>
      <c r="O384" s="48"/>
      <c r="P384" s="48"/>
      <c r="Q384" s="48"/>
      <c r="R384" s="48"/>
      <c r="S384" s="48"/>
      <c r="T384" s="48"/>
      <c r="U384" s="48"/>
      <c r="V384" s="48"/>
    </row>
    <row r="385" spans="2:22" s="46" customFormat="1" ht="15" customHeight="1">
      <c r="B385" s="48"/>
      <c r="C385" s="48"/>
      <c r="D385" s="48"/>
      <c r="E385" s="48"/>
      <c r="F385" s="48"/>
      <c r="G385" s="48"/>
      <c r="H385" s="48"/>
      <c r="I385" s="48"/>
      <c r="J385" s="48"/>
      <c r="K385" s="48"/>
      <c r="L385" s="48"/>
      <c r="M385" s="48"/>
      <c r="N385" s="48"/>
      <c r="O385" s="48"/>
      <c r="P385" s="48"/>
      <c r="Q385" s="48"/>
      <c r="R385" s="48"/>
      <c r="S385" s="48"/>
      <c r="T385" s="48"/>
      <c r="U385" s="48"/>
      <c r="V385" s="48"/>
    </row>
    <row r="386" spans="2:22" s="46" customFormat="1" ht="15" customHeight="1">
      <c r="B386" s="48"/>
      <c r="C386" s="48"/>
      <c r="D386" s="48"/>
      <c r="E386" s="48"/>
      <c r="F386" s="48"/>
      <c r="G386" s="48"/>
      <c r="H386" s="48"/>
      <c r="I386" s="48"/>
      <c r="J386" s="48"/>
      <c r="K386" s="48"/>
      <c r="L386" s="48"/>
      <c r="M386" s="48"/>
      <c r="N386" s="48"/>
      <c r="O386" s="48"/>
      <c r="P386" s="48"/>
      <c r="Q386" s="48"/>
      <c r="R386" s="48"/>
      <c r="S386" s="48"/>
      <c r="T386" s="48"/>
      <c r="U386" s="48"/>
      <c r="V386" s="48"/>
    </row>
    <row r="387" spans="2:22" s="46" customFormat="1" ht="15" customHeight="1">
      <c r="B387" s="48"/>
      <c r="C387" s="48"/>
      <c r="D387" s="48"/>
      <c r="E387" s="48"/>
      <c r="F387" s="48"/>
      <c r="G387" s="48"/>
      <c r="H387" s="48"/>
      <c r="I387" s="48"/>
      <c r="J387" s="48"/>
      <c r="K387" s="48"/>
      <c r="L387" s="48"/>
      <c r="M387" s="48"/>
      <c r="N387" s="48"/>
      <c r="O387" s="48"/>
      <c r="P387" s="48"/>
      <c r="Q387" s="48"/>
      <c r="R387" s="48"/>
      <c r="S387" s="48"/>
      <c r="T387" s="48"/>
      <c r="U387" s="48"/>
      <c r="V387" s="48"/>
    </row>
    <row r="388" spans="2:22" s="46" customFormat="1" ht="15" customHeight="1">
      <c r="B388" s="48"/>
      <c r="C388" s="48"/>
      <c r="D388" s="48"/>
      <c r="E388" s="48"/>
      <c r="F388" s="48"/>
      <c r="G388" s="48"/>
      <c r="H388" s="48"/>
      <c r="I388" s="48"/>
      <c r="J388" s="48"/>
      <c r="K388" s="48"/>
      <c r="L388" s="48"/>
      <c r="M388" s="48"/>
      <c r="N388" s="48"/>
      <c r="O388" s="48"/>
      <c r="P388" s="48"/>
      <c r="Q388" s="48"/>
      <c r="R388" s="48"/>
      <c r="S388" s="48"/>
      <c r="T388" s="48"/>
      <c r="U388" s="48"/>
      <c r="V388" s="48"/>
    </row>
    <row r="389" spans="2:22" s="46" customFormat="1" ht="15" customHeight="1">
      <c r="B389" s="48"/>
      <c r="C389" s="48"/>
      <c r="D389" s="48"/>
      <c r="E389" s="48"/>
      <c r="F389" s="48"/>
      <c r="G389" s="48"/>
      <c r="H389" s="48"/>
      <c r="I389" s="48"/>
      <c r="J389" s="48"/>
      <c r="K389" s="48"/>
      <c r="L389" s="48"/>
      <c r="M389" s="48"/>
      <c r="N389" s="48"/>
      <c r="O389" s="48"/>
      <c r="P389" s="48"/>
      <c r="Q389" s="48"/>
      <c r="R389" s="48"/>
      <c r="S389" s="48"/>
      <c r="T389" s="48"/>
      <c r="U389" s="48"/>
      <c r="V389" s="48"/>
    </row>
    <row r="390" spans="2:22" s="46" customFormat="1" ht="15" customHeight="1">
      <c r="B390" s="48"/>
      <c r="C390" s="48"/>
      <c r="D390" s="48"/>
      <c r="E390" s="48"/>
      <c r="F390" s="48"/>
      <c r="G390" s="48"/>
      <c r="H390" s="48"/>
      <c r="I390" s="48"/>
      <c r="J390" s="48"/>
      <c r="K390" s="48"/>
      <c r="L390" s="48"/>
      <c r="M390" s="48"/>
      <c r="N390" s="48"/>
      <c r="O390" s="48"/>
      <c r="P390" s="48"/>
      <c r="Q390" s="48"/>
      <c r="R390" s="48"/>
      <c r="S390" s="48"/>
      <c r="T390" s="48"/>
      <c r="U390" s="48"/>
      <c r="V390" s="48"/>
    </row>
    <row r="391" spans="2:22" s="46" customFormat="1" ht="15" customHeight="1">
      <c r="B391" s="48"/>
      <c r="C391" s="48"/>
      <c r="D391" s="48"/>
      <c r="E391" s="48"/>
      <c r="F391" s="48"/>
      <c r="G391" s="48"/>
      <c r="H391" s="48"/>
      <c r="I391" s="48"/>
      <c r="J391" s="48"/>
      <c r="K391" s="48"/>
      <c r="L391" s="48"/>
      <c r="M391" s="48"/>
      <c r="N391" s="48"/>
      <c r="O391" s="48"/>
      <c r="P391" s="48"/>
      <c r="Q391" s="48"/>
      <c r="R391" s="48"/>
      <c r="S391" s="48"/>
      <c r="T391" s="48"/>
      <c r="U391" s="48"/>
      <c r="V391" s="48"/>
    </row>
    <row r="392" spans="2:22" s="46" customFormat="1" ht="15" customHeight="1">
      <c r="B392" s="48"/>
      <c r="C392" s="48"/>
      <c r="D392" s="48"/>
      <c r="E392" s="48"/>
      <c r="F392" s="48"/>
      <c r="G392" s="48"/>
      <c r="H392" s="48"/>
      <c r="I392" s="48"/>
      <c r="J392" s="48"/>
      <c r="K392" s="48"/>
      <c r="L392" s="48"/>
      <c r="M392" s="48"/>
      <c r="N392" s="48"/>
      <c r="O392" s="48"/>
      <c r="P392" s="48"/>
      <c r="Q392" s="48"/>
      <c r="R392" s="48"/>
      <c r="S392" s="48"/>
      <c r="T392" s="48"/>
      <c r="U392" s="48"/>
      <c r="V392" s="48"/>
    </row>
    <row r="393" spans="2:22" s="46" customFormat="1" ht="15" customHeight="1">
      <c r="B393" s="48"/>
      <c r="C393" s="48"/>
      <c r="D393" s="48"/>
      <c r="E393" s="48"/>
      <c r="F393" s="48"/>
      <c r="G393" s="48"/>
      <c r="H393" s="48"/>
      <c r="I393" s="48"/>
      <c r="J393" s="48"/>
      <c r="K393" s="48"/>
      <c r="L393" s="48"/>
      <c r="M393" s="48"/>
      <c r="N393" s="48"/>
      <c r="O393" s="48"/>
      <c r="P393" s="48"/>
      <c r="Q393" s="48"/>
      <c r="R393" s="48"/>
      <c r="S393" s="48"/>
      <c r="T393" s="48"/>
      <c r="U393" s="48"/>
      <c r="V393" s="48"/>
    </row>
    <row r="394" spans="2:22" s="46" customFormat="1" ht="15" customHeight="1">
      <c r="B394" s="48"/>
      <c r="C394" s="48"/>
      <c r="D394" s="48"/>
      <c r="E394" s="48"/>
      <c r="F394" s="48"/>
      <c r="G394" s="48"/>
      <c r="H394" s="48"/>
      <c r="I394" s="48"/>
      <c r="J394" s="48"/>
      <c r="K394" s="48"/>
      <c r="L394" s="48"/>
      <c r="M394" s="48"/>
      <c r="N394" s="48"/>
      <c r="O394" s="48"/>
      <c r="P394" s="48"/>
      <c r="Q394" s="48"/>
      <c r="R394" s="48"/>
      <c r="S394" s="48"/>
      <c r="T394" s="48"/>
      <c r="U394" s="48"/>
      <c r="V394" s="48"/>
    </row>
    <row r="395" spans="2:22" s="46" customFormat="1" ht="15" customHeight="1">
      <c r="B395" s="48"/>
      <c r="C395" s="48"/>
      <c r="D395" s="48"/>
      <c r="E395" s="48"/>
      <c r="F395" s="48"/>
      <c r="G395" s="48"/>
      <c r="H395" s="48"/>
      <c r="I395" s="48"/>
      <c r="J395" s="48"/>
      <c r="K395" s="48"/>
      <c r="L395" s="48"/>
      <c r="M395" s="48"/>
      <c r="N395" s="48"/>
      <c r="O395" s="48"/>
      <c r="P395" s="48"/>
      <c r="Q395" s="48"/>
      <c r="R395" s="48"/>
      <c r="S395" s="48"/>
      <c r="T395" s="48"/>
      <c r="U395" s="48"/>
      <c r="V395" s="48"/>
    </row>
    <row r="396" spans="2:22" s="46" customFormat="1" ht="15" customHeight="1">
      <c r="B396" s="48"/>
      <c r="C396" s="48"/>
      <c r="D396" s="48"/>
      <c r="E396" s="48"/>
      <c r="F396" s="48"/>
      <c r="G396" s="48"/>
      <c r="H396" s="48"/>
      <c r="I396" s="48"/>
      <c r="J396" s="48"/>
      <c r="K396" s="48"/>
      <c r="L396" s="48"/>
      <c r="M396" s="48"/>
      <c r="N396" s="48"/>
      <c r="O396" s="48"/>
      <c r="P396" s="48"/>
      <c r="Q396" s="48"/>
      <c r="R396" s="48"/>
      <c r="S396" s="48"/>
      <c r="T396" s="48"/>
      <c r="U396" s="48"/>
      <c r="V396" s="48"/>
    </row>
    <row r="397" spans="2:22" s="46" customFormat="1" ht="15" customHeight="1">
      <c r="B397" s="48"/>
      <c r="C397" s="48"/>
      <c r="D397" s="48"/>
      <c r="E397" s="48"/>
      <c r="F397" s="48"/>
      <c r="G397" s="48"/>
      <c r="H397" s="48"/>
      <c r="I397" s="48"/>
      <c r="J397" s="48"/>
      <c r="K397" s="48"/>
      <c r="L397" s="48"/>
      <c r="M397" s="48"/>
      <c r="N397" s="48"/>
      <c r="O397" s="48"/>
      <c r="P397" s="48"/>
      <c r="Q397" s="48"/>
      <c r="R397" s="48"/>
      <c r="S397" s="48"/>
      <c r="T397" s="48"/>
      <c r="U397" s="48"/>
      <c r="V397" s="48"/>
    </row>
    <row r="398" spans="2:22" s="46" customFormat="1" ht="15" customHeight="1">
      <c r="B398" s="48"/>
      <c r="C398" s="48"/>
      <c r="D398" s="48"/>
      <c r="E398" s="48"/>
      <c r="F398" s="48"/>
      <c r="G398" s="48"/>
      <c r="H398" s="48"/>
      <c r="I398" s="48"/>
      <c r="J398" s="48"/>
      <c r="K398" s="48"/>
      <c r="L398" s="48"/>
      <c r="M398" s="48"/>
      <c r="N398" s="48"/>
      <c r="O398" s="48"/>
      <c r="P398" s="48"/>
      <c r="Q398" s="48"/>
      <c r="R398" s="48"/>
      <c r="S398" s="48"/>
      <c r="T398" s="48"/>
      <c r="U398" s="48"/>
      <c r="V398" s="48"/>
    </row>
    <row r="399" spans="2:22" s="46" customFormat="1" ht="15" customHeight="1">
      <c r="B399" s="48"/>
      <c r="C399" s="48"/>
      <c r="D399" s="48"/>
      <c r="E399" s="48"/>
      <c r="F399" s="48"/>
      <c r="G399" s="48"/>
      <c r="H399" s="48"/>
      <c r="I399" s="48"/>
      <c r="J399" s="48"/>
      <c r="K399" s="48"/>
      <c r="L399" s="48"/>
      <c r="M399" s="48"/>
      <c r="N399" s="48"/>
      <c r="O399" s="48"/>
      <c r="P399" s="48"/>
      <c r="Q399" s="48"/>
      <c r="R399" s="48"/>
      <c r="S399" s="48"/>
      <c r="T399" s="48"/>
      <c r="U399" s="48"/>
      <c r="V399" s="48"/>
    </row>
    <row r="400" spans="2:22" s="46" customFormat="1" ht="15" customHeight="1">
      <c r="B400" s="48"/>
      <c r="C400" s="48"/>
      <c r="D400" s="48"/>
      <c r="E400" s="48"/>
      <c r="F400" s="48"/>
      <c r="G400" s="48"/>
      <c r="H400" s="48"/>
      <c r="I400" s="48"/>
      <c r="J400" s="48"/>
      <c r="K400" s="48"/>
      <c r="L400" s="48"/>
      <c r="M400" s="48"/>
      <c r="N400" s="48"/>
      <c r="O400" s="48"/>
      <c r="P400" s="48"/>
      <c r="Q400" s="48"/>
      <c r="R400" s="48"/>
      <c r="S400" s="48"/>
      <c r="T400" s="48"/>
      <c r="U400" s="48"/>
      <c r="V400" s="48"/>
    </row>
    <row r="401" spans="2:22" s="46" customFormat="1" ht="15" customHeight="1">
      <c r="B401" s="48"/>
      <c r="C401" s="48"/>
      <c r="D401" s="48"/>
      <c r="E401" s="48"/>
      <c r="F401" s="48"/>
      <c r="G401" s="48"/>
      <c r="H401" s="48"/>
      <c r="I401" s="48"/>
      <c r="J401" s="48"/>
      <c r="K401" s="48"/>
      <c r="L401" s="48"/>
      <c r="M401" s="48"/>
      <c r="N401" s="48"/>
      <c r="O401" s="48"/>
      <c r="P401" s="48"/>
      <c r="Q401" s="48"/>
      <c r="R401" s="48"/>
      <c r="S401" s="48"/>
      <c r="T401" s="48"/>
      <c r="U401" s="48"/>
      <c r="V401" s="48"/>
    </row>
    <row r="402" spans="2:22" s="46" customFormat="1" ht="15" customHeight="1">
      <c r="B402" s="48"/>
      <c r="C402" s="48"/>
      <c r="D402" s="48"/>
      <c r="E402" s="48"/>
      <c r="F402" s="48"/>
      <c r="G402" s="48"/>
      <c r="H402" s="48"/>
      <c r="I402" s="48"/>
      <c r="J402" s="48"/>
      <c r="K402" s="48"/>
      <c r="L402" s="48"/>
      <c r="M402" s="48"/>
      <c r="N402" s="48"/>
      <c r="O402" s="48"/>
      <c r="P402" s="48"/>
      <c r="Q402" s="48"/>
      <c r="R402" s="48"/>
      <c r="S402" s="48"/>
      <c r="T402" s="48"/>
      <c r="U402" s="48"/>
      <c r="V402" s="48"/>
    </row>
    <row r="403" spans="2:22" s="46" customFormat="1" ht="15" customHeight="1">
      <c r="B403" s="48"/>
      <c r="C403" s="48"/>
      <c r="D403" s="48"/>
      <c r="E403" s="48"/>
      <c r="F403" s="48"/>
      <c r="G403" s="48"/>
      <c r="H403" s="48"/>
      <c r="I403" s="48"/>
      <c r="J403" s="48"/>
      <c r="K403" s="48"/>
      <c r="L403" s="48"/>
      <c r="M403" s="48"/>
      <c r="N403" s="48"/>
      <c r="O403" s="48"/>
      <c r="P403" s="48"/>
      <c r="Q403" s="48"/>
      <c r="R403" s="48"/>
      <c r="S403" s="48"/>
      <c r="T403" s="48"/>
      <c r="U403" s="48"/>
      <c r="V403" s="48"/>
    </row>
    <row r="404" spans="2:22" s="46" customFormat="1" ht="15" customHeight="1">
      <c r="B404" s="48"/>
      <c r="C404" s="48"/>
      <c r="D404" s="48"/>
      <c r="E404" s="48"/>
      <c r="F404" s="48"/>
      <c r="G404" s="48"/>
      <c r="H404" s="48"/>
      <c r="I404" s="48"/>
      <c r="J404" s="48"/>
      <c r="K404" s="48"/>
      <c r="L404" s="48"/>
      <c r="M404" s="48"/>
      <c r="N404" s="48"/>
      <c r="O404" s="48"/>
      <c r="P404" s="48"/>
      <c r="Q404" s="48"/>
      <c r="R404" s="48"/>
      <c r="S404" s="48"/>
      <c r="T404" s="48"/>
      <c r="U404" s="48"/>
      <c r="V404" s="48"/>
    </row>
    <row r="405" spans="2:22" s="46" customFormat="1" ht="15" customHeight="1">
      <c r="B405" s="48"/>
      <c r="C405" s="48"/>
      <c r="D405" s="48"/>
      <c r="E405" s="48"/>
      <c r="F405" s="48"/>
      <c r="G405" s="48"/>
      <c r="H405" s="48"/>
      <c r="I405" s="48"/>
      <c r="J405" s="48"/>
      <c r="K405" s="48"/>
      <c r="L405" s="48"/>
      <c r="M405" s="48"/>
      <c r="N405" s="48"/>
      <c r="O405" s="48"/>
      <c r="P405" s="48"/>
      <c r="Q405" s="48"/>
      <c r="R405" s="48"/>
      <c r="S405" s="48"/>
      <c r="T405" s="48"/>
      <c r="U405" s="48"/>
      <c r="V405" s="48"/>
    </row>
    <row r="406" spans="2:22" s="46" customFormat="1" ht="15" customHeight="1">
      <c r="B406" s="48"/>
      <c r="C406" s="48"/>
      <c r="D406" s="48"/>
      <c r="E406" s="48"/>
      <c r="F406" s="48"/>
      <c r="G406" s="48"/>
      <c r="H406" s="48"/>
      <c r="I406" s="48"/>
      <c r="J406" s="48"/>
      <c r="K406" s="48"/>
      <c r="L406" s="48"/>
      <c r="M406" s="48"/>
      <c r="N406" s="48"/>
      <c r="O406" s="48"/>
      <c r="P406" s="48"/>
      <c r="Q406" s="48"/>
      <c r="R406" s="48"/>
      <c r="S406" s="48"/>
      <c r="T406" s="48"/>
      <c r="U406" s="48"/>
      <c r="V406" s="48"/>
    </row>
    <row r="407" spans="2:22" s="46" customFormat="1" ht="15" customHeight="1">
      <c r="B407" s="48"/>
      <c r="C407" s="48"/>
      <c r="D407" s="48"/>
      <c r="E407" s="48"/>
      <c r="F407" s="48"/>
      <c r="G407" s="48"/>
      <c r="H407" s="48"/>
      <c r="I407" s="48"/>
      <c r="J407" s="48"/>
      <c r="K407" s="48"/>
      <c r="L407" s="48"/>
      <c r="M407" s="48"/>
      <c r="N407" s="48"/>
      <c r="O407" s="48"/>
      <c r="P407" s="48"/>
      <c r="Q407" s="48"/>
      <c r="R407" s="48"/>
      <c r="S407" s="48"/>
      <c r="T407" s="48"/>
      <c r="U407" s="48"/>
      <c r="V407" s="48"/>
    </row>
    <row r="408" spans="2:22" s="46" customFormat="1" ht="15" customHeight="1">
      <c r="B408" s="48"/>
      <c r="C408" s="48"/>
      <c r="D408" s="48"/>
      <c r="E408" s="48"/>
      <c r="F408" s="48"/>
      <c r="G408" s="48"/>
      <c r="H408" s="48"/>
      <c r="I408" s="48"/>
      <c r="J408" s="48"/>
      <c r="K408" s="48"/>
      <c r="L408" s="48"/>
      <c r="M408" s="48"/>
      <c r="N408" s="48"/>
      <c r="O408" s="48"/>
      <c r="P408" s="48"/>
      <c r="Q408" s="48"/>
      <c r="R408" s="48"/>
      <c r="S408" s="48"/>
      <c r="T408" s="48"/>
      <c r="U408" s="48"/>
      <c r="V408" s="48"/>
    </row>
    <row r="409" spans="2:22" s="46" customFormat="1" ht="15" customHeight="1">
      <c r="B409" s="48"/>
      <c r="C409" s="48"/>
      <c r="D409" s="48"/>
      <c r="E409" s="48"/>
      <c r="F409" s="48"/>
      <c r="G409" s="48"/>
      <c r="H409" s="48"/>
      <c r="I409" s="48"/>
      <c r="J409" s="48"/>
      <c r="K409" s="48"/>
      <c r="L409" s="48"/>
      <c r="M409" s="48"/>
      <c r="N409" s="48"/>
      <c r="O409" s="48"/>
      <c r="P409" s="48"/>
      <c r="Q409" s="48"/>
      <c r="R409" s="48"/>
      <c r="S409" s="48"/>
      <c r="T409" s="48"/>
      <c r="U409" s="48"/>
      <c r="V409" s="48"/>
    </row>
    <row r="410" spans="2:22" s="46" customFormat="1" ht="15" customHeight="1">
      <c r="B410" s="48"/>
      <c r="C410" s="48"/>
      <c r="D410" s="48"/>
      <c r="E410" s="48"/>
      <c r="F410" s="48"/>
      <c r="G410" s="48"/>
      <c r="H410" s="48"/>
      <c r="I410" s="48"/>
      <c r="J410" s="48"/>
      <c r="K410" s="48"/>
      <c r="L410" s="48"/>
      <c r="M410" s="48"/>
      <c r="N410" s="48"/>
      <c r="O410" s="48"/>
      <c r="P410" s="48"/>
      <c r="Q410" s="48"/>
      <c r="R410" s="48"/>
      <c r="S410" s="48"/>
      <c r="T410" s="48"/>
      <c r="U410" s="48"/>
      <c r="V410" s="48"/>
    </row>
    <row r="411" spans="2:22" s="46" customFormat="1" ht="15" customHeight="1">
      <c r="B411" s="48"/>
      <c r="C411" s="48"/>
      <c r="D411" s="48"/>
      <c r="E411" s="48"/>
      <c r="F411" s="48"/>
      <c r="G411" s="48"/>
      <c r="H411" s="48"/>
      <c r="I411" s="48"/>
      <c r="J411" s="48"/>
      <c r="K411" s="48"/>
      <c r="L411" s="48"/>
      <c r="M411" s="48"/>
      <c r="N411" s="48"/>
      <c r="O411" s="48"/>
      <c r="P411" s="48"/>
      <c r="Q411" s="48"/>
      <c r="R411" s="48"/>
      <c r="S411" s="48"/>
      <c r="T411" s="48"/>
      <c r="U411" s="48"/>
      <c r="V411" s="48"/>
    </row>
    <row r="412" spans="2:22" s="46" customFormat="1" ht="15" customHeight="1">
      <c r="B412" s="48"/>
      <c r="C412" s="48"/>
      <c r="D412" s="48"/>
      <c r="E412" s="48"/>
      <c r="F412" s="48"/>
      <c r="G412" s="48"/>
      <c r="H412" s="48"/>
      <c r="I412" s="48"/>
      <c r="J412" s="48"/>
      <c r="K412" s="48"/>
      <c r="L412" s="48"/>
      <c r="M412" s="48"/>
      <c r="N412" s="48"/>
      <c r="O412" s="48"/>
      <c r="P412" s="48"/>
      <c r="Q412" s="48"/>
      <c r="R412" s="48"/>
      <c r="S412" s="48"/>
      <c r="T412" s="48"/>
      <c r="U412" s="48"/>
      <c r="V412" s="48"/>
    </row>
    <row r="413" spans="2:22" s="46" customFormat="1" ht="15" customHeight="1">
      <c r="B413" s="48"/>
      <c r="C413" s="48"/>
      <c r="D413" s="48"/>
      <c r="E413" s="48"/>
      <c r="F413" s="48"/>
      <c r="G413" s="48"/>
      <c r="H413" s="48"/>
      <c r="I413" s="48"/>
      <c r="J413" s="48"/>
      <c r="K413" s="48"/>
      <c r="L413" s="48"/>
      <c r="M413" s="48"/>
      <c r="N413" s="48"/>
      <c r="O413" s="48"/>
      <c r="P413" s="48"/>
      <c r="Q413" s="48"/>
      <c r="R413" s="48"/>
      <c r="S413" s="48"/>
      <c r="T413" s="48"/>
      <c r="U413" s="48"/>
      <c r="V413" s="48"/>
    </row>
    <row r="414" spans="2:22" s="46" customFormat="1" ht="15" customHeight="1">
      <c r="B414" s="48"/>
      <c r="C414" s="48"/>
      <c r="D414" s="48"/>
      <c r="E414" s="48"/>
      <c r="F414" s="48"/>
      <c r="G414" s="48"/>
      <c r="H414" s="48"/>
      <c r="I414" s="48"/>
      <c r="J414" s="48"/>
      <c r="K414" s="48"/>
      <c r="L414" s="48"/>
      <c r="M414" s="48"/>
      <c r="N414" s="48"/>
      <c r="O414" s="48"/>
      <c r="P414" s="48"/>
      <c r="Q414" s="48"/>
      <c r="R414" s="48"/>
      <c r="S414" s="48"/>
      <c r="T414" s="48"/>
      <c r="U414" s="48"/>
      <c r="V414" s="48"/>
    </row>
    <row r="415" spans="2:22" s="46" customFormat="1" ht="15" customHeight="1">
      <c r="B415" s="48"/>
      <c r="C415" s="48"/>
      <c r="D415" s="48"/>
      <c r="E415" s="48"/>
      <c r="F415" s="48"/>
      <c r="G415" s="48"/>
      <c r="H415" s="48"/>
      <c r="I415" s="48"/>
      <c r="J415" s="48"/>
      <c r="K415" s="48"/>
      <c r="L415" s="48"/>
      <c r="M415" s="48"/>
      <c r="N415" s="48"/>
      <c r="O415" s="48"/>
      <c r="P415" s="48"/>
      <c r="Q415" s="48"/>
      <c r="R415" s="48"/>
      <c r="S415" s="48"/>
      <c r="T415" s="48"/>
      <c r="U415" s="48"/>
      <c r="V415" s="48"/>
    </row>
    <row r="416" spans="2:22" s="46" customFormat="1" ht="15" customHeight="1">
      <c r="B416" s="48"/>
      <c r="C416" s="48"/>
      <c r="D416" s="48"/>
      <c r="E416" s="48"/>
      <c r="F416" s="48"/>
      <c r="G416" s="48"/>
      <c r="H416" s="48"/>
      <c r="I416" s="48"/>
      <c r="J416" s="48"/>
      <c r="K416" s="48"/>
      <c r="L416" s="48"/>
      <c r="M416" s="48"/>
      <c r="N416" s="48"/>
      <c r="O416" s="48"/>
      <c r="P416" s="48"/>
      <c r="Q416" s="48"/>
      <c r="R416" s="48"/>
      <c r="S416" s="48"/>
      <c r="T416" s="48"/>
      <c r="U416" s="48"/>
      <c r="V416" s="48"/>
    </row>
    <row r="417" spans="2:22" s="46" customFormat="1" ht="15" customHeight="1">
      <c r="B417" s="48"/>
      <c r="C417" s="48"/>
      <c r="D417" s="48"/>
      <c r="E417" s="48"/>
      <c r="F417" s="48"/>
      <c r="G417" s="48"/>
      <c r="H417" s="48"/>
      <c r="I417" s="48"/>
      <c r="J417" s="48"/>
      <c r="K417" s="48"/>
      <c r="L417" s="48"/>
      <c r="M417" s="48"/>
      <c r="N417" s="48"/>
      <c r="O417" s="48"/>
      <c r="P417" s="48"/>
      <c r="Q417" s="48"/>
      <c r="R417" s="48"/>
      <c r="S417" s="48"/>
      <c r="T417" s="48"/>
      <c r="U417" s="48"/>
      <c r="V417" s="48"/>
    </row>
    <row r="418" spans="2:22" s="46" customFormat="1" ht="15" customHeight="1">
      <c r="B418" s="48"/>
      <c r="C418" s="48"/>
      <c r="D418" s="48"/>
      <c r="E418" s="48"/>
      <c r="F418" s="48"/>
      <c r="G418" s="48"/>
      <c r="H418" s="48"/>
      <c r="I418" s="48"/>
      <c r="J418" s="48"/>
      <c r="K418" s="48"/>
      <c r="L418" s="48"/>
      <c r="M418" s="48"/>
      <c r="N418" s="48"/>
      <c r="O418" s="48"/>
      <c r="P418" s="48"/>
      <c r="Q418" s="48"/>
      <c r="R418" s="48"/>
      <c r="S418" s="48"/>
      <c r="T418" s="48"/>
      <c r="U418" s="48"/>
      <c r="V418" s="48"/>
    </row>
    <row r="419" spans="2:22" s="46" customFormat="1" ht="15" customHeight="1">
      <c r="B419" s="48"/>
      <c r="C419" s="48"/>
      <c r="D419" s="48"/>
      <c r="E419" s="48"/>
      <c r="F419" s="48"/>
      <c r="G419" s="48"/>
      <c r="H419" s="48"/>
      <c r="I419" s="48"/>
      <c r="J419" s="48"/>
      <c r="K419" s="48"/>
      <c r="L419" s="48"/>
      <c r="M419" s="48"/>
      <c r="N419" s="48"/>
      <c r="O419" s="48"/>
      <c r="P419" s="48"/>
      <c r="Q419" s="48"/>
      <c r="R419" s="48"/>
      <c r="S419" s="48"/>
      <c r="T419" s="48"/>
      <c r="U419" s="48"/>
      <c r="V419" s="48"/>
    </row>
    <row r="420" spans="2:22" s="46" customFormat="1" ht="15" customHeight="1">
      <c r="B420" s="48"/>
      <c r="C420" s="48"/>
      <c r="D420" s="48"/>
      <c r="E420" s="48"/>
      <c r="F420" s="48"/>
      <c r="G420" s="48"/>
      <c r="H420" s="48"/>
      <c r="I420" s="48"/>
      <c r="J420" s="48"/>
      <c r="K420" s="48"/>
      <c r="L420" s="48"/>
      <c r="M420" s="48"/>
      <c r="N420" s="48"/>
      <c r="O420" s="48"/>
      <c r="P420" s="48"/>
      <c r="Q420" s="48"/>
      <c r="R420" s="48"/>
      <c r="S420" s="48"/>
      <c r="T420" s="48"/>
      <c r="U420" s="48"/>
      <c r="V420" s="48"/>
    </row>
    <row r="421" spans="2:22" s="46" customFormat="1" ht="15" customHeight="1">
      <c r="B421" s="48"/>
      <c r="C421" s="48"/>
      <c r="D421" s="48"/>
      <c r="E421" s="48"/>
      <c r="F421" s="48"/>
      <c r="G421" s="48"/>
      <c r="H421" s="48"/>
      <c r="I421" s="48"/>
      <c r="J421" s="48"/>
      <c r="K421" s="48"/>
      <c r="L421" s="48"/>
      <c r="M421" s="48"/>
      <c r="N421" s="48"/>
      <c r="O421" s="48"/>
      <c r="P421" s="48"/>
      <c r="Q421" s="48"/>
      <c r="R421" s="48"/>
      <c r="S421" s="48"/>
      <c r="T421" s="48"/>
      <c r="U421" s="48"/>
      <c r="V421" s="48"/>
    </row>
    <row r="422" spans="2:22" s="46" customFormat="1" ht="15" customHeight="1">
      <c r="B422" s="48"/>
      <c r="C422" s="48"/>
      <c r="D422" s="48"/>
      <c r="E422" s="48"/>
      <c r="F422" s="48"/>
      <c r="G422" s="48"/>
      <c r="H422" s="48"/>
      <c r="I422" s="48"/>
      <c r="J422" s="48"/>
      <c r="K422" s="48"/>
      <c r="L422" s="48"/>
      <c r="M422" s="48"/>
      <c r="N422" s="48"/>
      <c r="O422" s="48"/>
      <c r="P422" s="48"/>
      <c r="Q422" s="48"/>
      <c r="R422" s="48"/>
      <c r="S422" s="48"/>
      <c r="T422" s="48"/>
      <c r="U422" s="48"/>
      <c r="V422" s="48"/>
    </row>
    <row r="423" spans="2:22" s="46" customFormat="1" ht="15" customHeight="1">
      <c r="B423" s="48"/>
      <c r="C423" s="48"/>
      <c r="D423" s="48"/>
      <c r="E423" s="48"/>
      <c r="F423" s="48"/>
      <c r="G423" s="48"/>
      <c r="H423" s="48"/>
      <c r="I423" s="48"/>
      <c r="J423" s="48"/>
      <c r="K423" s="48"/>
      <c r="L423" s="48"/>
      <c r="M423" s="48"/>
      <c r="N423" s="48"/>
      <c r="O423" s="48"/>
      <c r="P423" s="48"/>
      <c r="Q423" s="48"/>
      <c r="R423" s="48"/>
      <c r="S423" s="48"/>
      <c r="T423" s="48"/>
      <c r="U423" s="48"/>
      <c r="V423" s="48"/>
    </row>
    <row r="424" spans="2:22" s="46" customFormat="1" ht="15" customHeight="1">
      <c r="B424" s="48"/>
      <c r="C424" s="48"/>
      <c r="D424" s="48"/>
      <c r="E424" s="48"/>
      <c r="F424" s="48"/>
      <c r="G424" s="48"/>
      <c r="H424" s="48"/>
      <c r="I424" s="48"/>
      <c r="J424" s="48"/>
      <c r="K424" s="48"/>
      <c r="L424" s="48"/>
      <c r="M424" s="48"/>
      <c r="N424" s="48"/>
      <c r="O424" s="48"/>
      <c r="P424" s="48"/>
      <c r="Q424" s="48"/>
      <c r="R424" s="48"/>
      <c r="S424" s="48"/>
      <c r="T424" s="48"/>
      <c r="U424" s="48"/>
      <c r="V424" s="48"/>
    </row>
    <row r="425" spans="2:22" s="46" customFormat="1" ht="15" customHeight="1">
      <c r="B425" s="48"/>
      <c r="C425" s="48"/>
      <c r="D425" s="48"/>
      <c r="E425" s="48"/>
      <c r="F425" s="48"/>
      <c r="G425" s="48"/>
      <c r="H425" s="48"/>
      <c r="I425" s="48"/>
      <c r="J425" s="48"/>
      <c r="K425" s="48"/>
      <c r="L425" s="48"/>
      <c r="M425" s="48"/>
      <c r="N425" s="48"/>
      <c r="O425" s="48"/>
      <c r="P425" s="48"/>
      <c r="Q425" s="48"/>
      <c r="R425" s="48"/>
      <c r="S425" s="48"/>
      <c r="T425" s="48"/>
      <c r="U425" s="48"/>
      <c r="V425" s="48"/>
    </row>
    <row r="426" spans="2:22" s="46" customFormat="1" ht="15" customHeight="1">
      <c r="B426" s="48"/>
      <c r="C426" s="48"/>
      <c r="D426" s="48"/>
      <c r="E426" s="48"/>
      <c r="F426" s="48"/>
      <c r="G426" s="48"/>
      <c r="H426" s="48"/>
      <c r="I426" s="48"/>
      <c r="J426" s="48"/>
      <c r="K426" s="48"/>
      <c r="L426" s="48"/>
      <c r="M426" s="48"/>
      <c r="N426" s="48"/>
      <c r="O426" s="48"/>
      <c r="P426" s="48"/>
      <c r="Q426" s="48"/>
      <c r="R426" s="48"/>
      <c r="S426" s="48"/>
      <c r="T426" s="48"/>
      <c r="U426" s="48"/>
      <c r="V426" s="48"/>
    </row>
    <row r="427" spans="2:22" s="46" customFormat="1" ht="15" customHeight="1">
      <c r="B427" s="48"/>
      <c r="C427" s="48"/>
      <c r="D427" s="48"/>
      <c r="E427" s="48"/>
      <c r="F427" s="48"/>
      <c r="G427" s="48"/>
      <c r="H427" s="48"/>
      <c r="I427" s="48"/>
      <c r="J427" s="48"/>
      <c r="K427" s="48"/>
      <c r="L427" s="48"/>
      <c r="M427" s="48"/>
      <c r="N427" s="48"/>
      <c r="O427" s="48"/>
      <c r="P427" s="48"/>
      <c r="Q427" s="48"/>
      <c r="R427" s="48"/>
      <c r="S427" s="48"/>
      <c r="T427" s="48"/>
      <c r="U427" s="48"/>
      <c r="V427" s="48"/>
    </row>
    <row r="428" spans="2:22" s="46" customFormat="1" ht="15" customHeight="1">
      <c r="B428" s="48"/>
      <c r="C428" s="48"/>
      <c r="D428" s="48"/>
      <c r="E428" s="48"/>
      <c r="F428" s="48"/>
      <c r="G428" s="48"/>
      <c r="H428" s="48"/>
      <c r="I428" s="48"/>
      <c r="J428" s="48"/>
      <c r="K428" s="48"/>
      <c r="L428" s="48"/>
      <c r="M428" s="48"/>
      <c r="N428" s="48"/>
      <c r="O428" s="48"/>
      <c r="P428" s="48"/>
      <c r="Q428" s="48"/>
      <c r="R428" s="48"/>
      <c r="S428" s="48"/>
      <c r="T428" s="48"/>
      <c r="U428" s="48"/>
      <c r="V428" s="48"/>
    </row>
    <row r="429" spans="2:22" s="46" customFormat="1" ht="15" customHeight="1">
      <c r="B429" s="48"/>
      <c r="C429" s="48"/>
      <c r="D429" s="48"/>
      <c r="E429" s="48"/>
      <c r="F429" s="48"/>
      <c r="G429" s="48"/>
      <c r="H429" s="48"/>
      <c r="I429" s="48"/>
      <c r="J429" s="48"/>
      <c r="K429" s="48"/>
      <c r="L429" s="48"/>
      <c r="M429" s="48"/>
      <c r="N429" s="48"/>
      <c r="O429" s="48"/>
      <c r="P429" s="48"/>
      <c r="Q429" s="48"/>
      <c r="R429" s="48"/>
      <c r="S429" s="48"/>
      <c r="T429" s="48"/>
      <c r="U429" s="48"/>
      <c r="V429" s="48"/>
    </row>
    <row r="430" spans="2:22" s="46" customFormat="1" ht="15" customHeight="1">
      <c r="B430" s="48"/>
      <c r="C430" s="48"/>
      <c r="D430" s="48"/>
      <c r="E430" s="48"/>
      <c r="F430" s="48"/>
      <c r="G430" s="48"/>
      <c r="H430" s="48"/>
      <c r="I430" s="48"/>
      <c r="J430" s="48"/>
      <c r="K430" s="48"/>
      <c r="L430" s="48"/>
      <c r="M430" s="48"/>
      <c r="N430" s="48"/>
      <c r="O430" s="48"/>
      <c r="P430" s="48"/>
      <c r="Q430" s="48"/>
      <c r="R430" s="48"/>
      <c r="S430" s="48"/>
      <c r="T430" s="48"/>
      <c r="U430" s="48"/>
      <c r="V430" s="48"/>
    </row>
    <row r="431" spans="2:22" s="46" customFormat="1" ht="15" customHeight="1">
      <c r="B431" s="48"/>
      <c r="C431" s="48"/>
      <c r="D431" s="48"/>
      <c r="E431" s="48"/>
      <c r="F431" s="48"/>
      <c r="G431" s="48"/>
      <c r="H431" s="48"/>
      <c r="I431" s="48"/>
      <c r="J431" s="48"/>
      <c r="K431" s="48"/>
      <c r="L431" s="48"/>
      <c r="M431" s="48"/>
      <c r="N431" s="48"/>
      <c r="O431" s="48"/>
      <c r="P431" s="48"/>
      <c r="Q431" s="48"/>
      <c r="R431" s="48"/>
      <c r="S431" s="48"/>
      <c r="T431" s="48"/>
      <c r="U431" s="48"/>
      <c r="V431" s="48"/>
    </row>
    <row r="432" spans="2:22" s="46" customFormat="1" ht="15" customHeight="1">
      <c r="B432" s="48"/>
      <c r="C432" s="48"/>
      <c r="D432" s="48"/>
      <c r="E432" s="48"/>
      <c r="F432" s="48"/>
      <c r="G432" s="48"/>
      <c r="H432" s="48"/>
      <c r="I432" s="48"/>
      <c r="J432" s="48"/>
      <c r="K432" s="48"/>
      <c r="L432" s="48"/>
      <c r="M432" s="48"/>
      <c r="N432" s="48"/>
      <c r="O432" s="48"/>
      <c r="P432" s="48"/>
      <c r="Q432" s="48"/>
      <c r="R432" s="48"/>
      <c r="S432" s="48"/>
      <c r="T432" s="48"/>
      <c r="U432" s="48"/>
      <c r="V432" s="48"/>
    </row>
    <row r="433" spans="2:22" s="46" customFormat="1" ht="15" customHeight="1">
      <c r="B433" s="48"/>
      <c r="C433" s="48"/>
      <c r="D433" s="48"/>
      <c r="E433" s="48"/>
      <c r="F433" s="48"/>
      <c r="G433" s="48"/>
      <c r="H433" s="48"/>
      <c r="I433" s="48"/>
      <c r="J433" s="48"/>
      <c r="K433" s="48"/>
      <c r="L433" s="48"/>
      <c r="M433" s="48"/>
      <c r="N433" s="48"/>
      <c r="O433" s="48"/>
      <c r="P433" s="48"/>
      <c r="Q433" s="48"/>
      <c r="R433" s="48"/>
      <c r="S433" s="48"/>
      <c r="T433" s="48"/>
      <c r="U433" s="48"/>
      <c r="V433" s="48"/>
    </row>
    <row r="434" spans="2:22" s="46" customFormat="1" ht="15" customHeight="1">
      <c r="B434" s="48"/>
      <c r="C434" s="48"/>
      <c r="D434" s="48"/>
      <c r="E434" s="48"/>
      <c r="F434" s="48"/>
      <c r="G434" s="48"/>
      <c r="H434" s="48"/>
      <c r="I434" s="48"/>
      <c r="J434" s="48"/>
      <c r="K434" s="48"/>
      <c r="L434" s="48"/>
      <c r="M434" s="48"/>
      <c r="N434" s="48"/>
      <c r="O434" s="48"/>
      <c r="P434" s="48"/>
      <c r="Q434" s="48"/>
      <c r="R434" s="48"/>
      <c r="S434" s="48"/>
      <c r="T434" s="48"/>
      <c r="U434" s="48"/>
      <c r="V434" s="48"/>
    </row>
    <row r="435" spans="2:22" s="46" customFormat="1" ht="15" customHeight="1">
      <c r="B435" s="48"/>
      <c r="C435" s="48"/>
      <c r="D435" s="48"/>
      <c r="E435" s="48"/>
      <c r="F435" s="48"/>
      <c r="G435" s="48"/>
      <c r="H435" s="48"/>
      <c r="I435" s="48"/>
      <c r="J435" s="48"/>
      <c r="K435" s="48"/>
      <c r="L435" s="48"/>
      <c r="M435" s="48"/>
      <c r="N435" s="48"/>
      <c r="O435" s="48"/>
      <c r="P435" s="48"/>
      <c r="Q435" s="48"/>
      <c r="R435" s="48"/>
      <c r="S435" s="48"/>
      <c r="T435" s="48"/>
      <c r="U435" s="48"/>
      <c r="V435" s="48"/>
    </row>
    <row r="436" spans="2:22" s="46" customFormat="1" ht="15" customHeight="1">
      <c r="B436" s="48"/>
      <c r="C436" s="48"/>
      <c r="D436" s="48"/>
      <c r="E436" s="48"/>
      <c r="F436" s="48"/>
      <c r="G436" s="48"/>
      <c r="H436" s="48"/>
      <c r="I436" s="48"/>
      <c r="J436" s="48"/>
      <c r="K436" s="48"/>
      <c r="L436" s="48"/>
      <c r="M436" s="48"/>
      <c r="N436" s="48"/>
      <c r="O436" s="48"/>
      <c r="P436" s="48"/>
      <c r="Q436" s="48"/>
      <c r="R436" s="48"/>
      <c r="S436" s="48"/>
      <c r="T436" s="48"/>
      <c r="U436" s="48"/>
      <c r="V436" s="48"/>
    </row>
    <row r="437" spans="2:22" s="46" customFormat="1" ht="15" customHeight="1">
      <c r="B437" s="48"/>
      <c r="C437" s="48"/>
      <c r="D437" s="48"/>
      <c r="E437" s="48"/>
      <c r="F437" s="48"/>
      <c r="G437" s="48"/>
      <c r="H437" s="48"/>
      <c r="I437" s="48"/>
      <c r="J437" s="48"/>
      <c r="K437" s="48"/>
      <c r="L437" s="48"/>
      <c r="M437" s="48"/>
      <c r="N437" s="48"/>
      <c r="O437" s="48"/>
      <c r="P437" s="48"/>
      <c r="Q437" s="48"/>
      <c r="R437" s="48"/>
      <c r="S437" s="48"/>
      <c r="T437" s="48"/>
      <c r="U437" s="48"/>
      <c r="V437" s="48"/>
    </row>
    <row r="438" spans="2:22" s="46" customFormat="1" ht="15" customHeight="1">
      <c r="B438" s="48"/>
      <c r="C438" s="48"/>
      <c r="D438" s="48"/>
      <c r="E438" s="48"/>
      <c r="F438" s="48"/>
      <c r="G438" s="48"/>
      <c r="H438" s="48"/>
      <c r="I438" s="48"/>
      <c r="J438" s="48"/>
      <c r="K438" s="48"/>
      <c r="L438" s="48"/>
      <c r="M438" s="48"/>
      <c r="N438" s="48"/>
      <c r="O438" s="48"/>
      <c r="P438" s="48"/>
      <c r="Q438" s="48"/>
      <c r="R438" s="48"/>
      <c r="S438" s="48"/>
      <c r="T438" s="48"/>
      <c r="U438" s="48"/>
      <c r="V438" s="48"/>
    </row>
    <row r="439" spans="2:22" s="46" customFormat="1" ht="15" customHeight="1">
      <c r="B439" s="48"/>
      <c r="C439" s="48"/>
      <c r="D439" s="48"/>
      <c r="E439" s="48"/>
      <c r="F439" s="48"/>
      <c r="G439" s="48"/>
      <c r="H439" s="48"/>
      <c r="I439" s="48"/>
      <c r="J439" s="48"/>
      <c r="K439" s="48"/>
      <c r="L439" s="48"/>
      <c r="M439" s="48"/>
      <c r="N439" s="48"/>
      <c r="O439" s="48"/>
      <c r="P439" s="48"/>
      <c r="Q439" s="48"/>
      <c r="R439" s="48"/>
      <c r="S439" s="48"/>
      <c r="T439" s="48"/>
      <c r="U439" s="48"/>
      <c r="V439" s="48"/>
    </row>
    <row r="440" spans="2:22" s="46" customFormat="1" ht="15" customHeight="1">
      <c r="B440" s="48"/>
      <c r="C440" s="48"/>
      <c r="D440" s="48"/>
      <c r="E440" s="48"/>
      <c r="F440" s="48"/>
      <c r="G440" s="48"/>
      <c r="H440" s="48"/>
      <c r="I440" s="48"/>
      <c r="J440" s="48"/>
      <c r="K440" s="48"/>
      <c r="L440" s="48"/>
      <c r="M440" s="48"/>
      <c r="N440" s="48"/>
      <c r="O440" s="48"/>
      <c r="P440" s="48"/>
      <c r="Q440" s="48"/>
      <c r="R440" s="48"/>
      <c r="S440" s="48"/>
      <c r="T440" s="48"/>
      <c r="U440" s="48"/>
      <c r="V440" s="48"/>
    </row>
    <row r="441" spans="2:22" s="46" customFormat="1" ht="15" customHeight="1">
      <c r="B441" s="48"/>
      <c r="C441" s="48"/>
      <c r="D441" s="48"/>
      <c r="E441" s="48"/>
      <c r="F441" s="48"/>
      <c r="G441" s="48"/>
      <c r="H441" s="48"/>
      <c r="I441" s="48"/>
      <c r="J441" s="48"/>
      <c r="K441" s="48"/>
      <c r="L441" s="48"/>
      <c r="M441" s="48"/>
      <c r="N441" s="48"/>
      <c r="O441" s="48"/>
      <c r="P441" s="48"/>
      <c r="Q441" s="48"/>
      <c r="R441" s="48"/>
      <c r="S441" s="48"/>
      <c r="T441" s="48"/>
      <c r="U441" s="48"/>
      <c r="V441" s="48"/>
    </row>
    <row r="442" spans="2:22" s="46" customFormat="1" ht="15" customHeight="1">
      <c r="B442" s="48"/>
      <c r="C442" s="48"/>
      <c r="D442" s="48"/>
      <c r="E442" s="48"/>
      <c r="F442" s="48"/>
      <c r="G442" s="48"/>
      <c r="H442" s="48"/>
      <c r="I442" s="48"/>
      <c r="J442" s="48"/>
      <c r="K442" s="48"/>
      <c r="L442" s="48"/>
      <c r="M442" s="48"/>
      <c r="N442" s="48"/>
      <c r="O442" s="48"/>
      <c r="P442" s="48"/>
      <c r="Q442" s="48"/>
      <c r="R442" s="48"/>
      <c r="S442" s="48"/>
      <c r="T442" s="48"/>
      <c r="U442" s="48"/>
      <c r="V442" s="48"/>
    </row>
    <row r="443" spans="2:22" s="46" customFormat="1" ht="15" customHeight="1">
      <c r="B443" s="48"/>
      <c r="C443" s="48"/>
      <c r="D443" s="48"/>
      <c r="E443" s="48"/>
      <c r="F443" s="48"/>
      <c r="G443" s="48"/>
      <c r="H443" s="48"/>
      <c r="I443" s="48"/>
      <c r="J443" s="48"/>
      <c r="K443" s="48"/>
      <c r="L443" s="48"/>
      <c r="M443" s="48"/>
      <c r="N443" s="48"/>
      <c r="O443" s="48"/>
      <c r="P443" s="48"/>
      <c r="Q443" s="48"/>
      <c r="R443" s="48"/>
      <c r="S443" s="48"/>
      <c r="T443" s="48"/>
      <c r="U443" s="48"/>
      <c r="V443" s="48"/>
    </row>
    <row r="444" spans="2:22" s="46" customFormat="1" ht="15" customHeight="1">
      <c r="B444" s="48"/>
      <c r="C444" s="48"/>
      <c r="D444" s="48"/>
      <c r="E444" s="48"/>
      <c r="F444" s="48"/>
      <c r="G444" s="48"/>
      <c r="H444" s="48"/>
      <c r="I444" s="48"/>
      <c r="J444" s="48"/>
      <c r="K444" s="48"/>
      <c r="L444" s="48"/>
      <c r="M444" s="48"/>
      <c r="N444" s="48"/>
      <c r="O444" s="48"/>
      <c r="P444" s="48"/>
      <c r="Q444" s="48"/>
      <c r="R444" s="48"/>
      <c r="S444" s="48"/>
      <c r="T444" s="48"/>
      <c r="U444" s="48"/>
      <c r="V444" s="48"/>
    </row>
    <row r="445" spans="2:22" s="46" customFormat="1" ht="15" customHeight="1">
      <c r="B445" s="48"/>
      <c r="C445" s="48"/>
      <c r="D445" s="48"/>
      <c r="E445" s="48"/>
      <c r="F445" s="48"/>
      <c r="G445" s="48"/>
      <c r="H445" s="48"/>
      <c r="I445" s="48"/>
      <c r="J445" s="48"/>
      <c r="K445" s="48"/>
      <c r="L445" s="48"/>
      <c r="M445" s="48"/>
      <c r="N445" s="48"/>
      <c r="O445" s="48"/>
      <c r="P445" s="48"/>
      <c r="Q445" s="48"/>
      <c r="R445" s="48"/>
      <c r="S445" s="48"/>
      <c r="T445" s="48"/>
      <c r="U445" s="48"/>
      <c r="V445" s="48"/>
    </row>
    <row r="446" spans="2:22" s="46" customFormat="1" ht="15" customHeight="1">
      <c r="B446" s="48"/>
      <c r="C446" s="48"/>
      <c r="D446" s="48"/>
      <c r="E446" s="48"/>
      <c r="F446" s="48"/>
      <c r="G446" s="48"/>
      <c r="H446" s="48"/>
      <c r="I446" s="48"/>
      <c r="J446" s="48"/>
      <c r="K446" s="48"/>
      <c r="L446" s="48"/>
      <c r="M446" s="48"/>
      <c r="N446" s="48"/>
      <c r="O446" s="48"/>
      <c r="P446" s="48"/>
      <c r="Q446" s="48"/>
      <c r="R446" s="48"/>
      <c r="S446" s="48"/>
      <c r="T446" s="48"/>
      <c r="U446" s="48"/>
      <c r="V446" s="48"/>
    </row>
    <row r="447" spans="2:22" s="46" customFormat="1" ht="15" customHeight="1">
      <c r="B447" s="48"/>
      <c r="C447" s="48"/>
      <c r="D447" s="48"/>
      <c r="E447" s="48"/>
      <c r="F447" s="48"/>
      <c r="G447" s="48"/>
      <c r="H447" s="48"/>
      <c r="I447" s="48"/>
      <c r="J447" s="48"/>
      <c r="K447" s="48"/>
      <c r="L447" s="48"/>
      <c r="M447" s="48"/>
      <c r="N447" s="48"/>
      <c r="O447" s="48"/>
      <c r="P447" s="48"/>
      <c r="Q447" s="48"/>
      <c r="R447" s="48"/>
      <c r="S447" s="48"/>
      <c r="T447" s="48"/>
      <c r="U447" s="48"/>
      <c r="V447" s="48"/>
    </row>
    <row r="448" spans="2:22" s="46" customFormat="1" ht="15" customHeight="1">
      <c r="B448" s="48"/>
      <c r="C448" s="48"/>
      <c r="D448" s="48"/>
      <c r="E448" s="48"/>
      <c r="F448" s="48"/>
      <c r="G448" s="48"/>
      <c r="H448" s="48"/>
      <c r="I448" s="48"/>
      <c r="J448" s="48"/>
      <c r="K448" s="48"/>
      <c r="L448" s="48"/>
      <c r="M448" s="48"/>
      <c r="N448" s="48"/>
      <c r="O448" s="48"/>
      <c r="P448" s="48"/>
      <c r="Q448" s="48"/>
      <c r="R448" s="48"/>
      <c r="S448" s="48"/>
      <c r="T448" s="48"/>
      <c r="U448" s="48"/>
      <c r="V448" s="48"/>
    </row>
    <row r="449" spans="2:22" s="46" customFormat="1" ht="15" customHeight="1">
      <c r="B449" s="48"/>
      <c r="C449" s="48"/>
      <c r="D449" s="48"/>
      <c r="E449" s="48"/>
      <c r="F449" s="48"/>
      <c r="G449" s="48"/>
      <c r="H449" s="48"/>
      <c r="I449" s="48"/>
      <c r="J449" s="48"/>
      <c r="K449" s="48"/>
      <c r="L449" s="48"/>
      <c r="M449" s="48"/>
      <c r="N449" s="48"/>
      <c r="O449" s="48"/>
      <c r="P449" s="48"/>
      <c r="Q449" s="48"/>
      <c r="R449" s="48"/>
      <c r="S449" s="48"/>
      <c r="T449" s="48"/>
      <c r="U449" s="48"/>
      <c r="V449" s="48"/>
    </row>
    <row r="450" spans="2:22" s="46" customFormat="1" ht="15" customHeight="1">
      <c r="B450" s="48"/>
      <c r="C450" s="48"/>
      <c r="D450" s="48"/>
      <c r="E450" s="48"/>
      <c r="F450" s="48"/>
      <c r="G450" s="48"/>
      <c r="H450" s="48"/>
      <c r="I450" s="48"/>
      <c r="J450" s="48"/>
      <c r="K450" s="48"/>
      <c r="L450" s="48"/>
      <c r="M450" s="48"/>
      <c r="N450" s="48"/>
      <c r="O450" s="48"/>
      <c r="P450" s="48"/>
      <c r="Q450" s="48"/>
      <c r="R450" s="48"/>
      <c r="S450" s="48"/>
      <c r="T450" s="48"/>
      <c r="U450" s="48"/>
      <c r="V450" s="48"/>
    </row>
    <row r="451" spans="2:22" s="46" customFormat="1" ht="15" customHeight="1">
      <c r="B451" s="48"/>
      <c r="C451" s="48"/>
      <c r="D451" s="48"/>
      <c r="E451" s="48"/>
      <c r="F451" s="48"/>
      <c r="G451" s="48"/>
      <c r="H451" s="48"/>
      <c r="I451" s="48"/>
      <c r="J451" s="48"/>
      <c r="K451" s="48"/>
      <c r="L451" s="48"/>
      <c r="M451" s="48"/>
      <c r="N451" s="48"/>
      <c r="O451" s="48"/>
      <c r="P451" s="48"/>
      <c r="Q451" s="48"/>
      <c r="R451" s="48"/>
      <c r="S451" s="48"/>
      <c r="T451" s="48"/>
      <c r="U451" s="48"/>
      <c r="V451" s="48"/>
    </row>
    <row r="452" spans="2:22" s="46" customFormat="1" ht="15" customHeight="1">
      <c r="B452" s="48"/>
      <c r="C452" s="48"/>
      <c r="D452" s="48"/>
      <c r="E452" s="48"/>
      <c r="F452" s="48"/>
      <c r="G452" s="48"/>
      <c r="H452" s="48"/>
      <c r="I452" s="48"/>
      <c r="J452" s="48"/>
      <c r="K452" s="48"/>
      <c r="L452" s="48"/>
      <c r="M452" s="48"/>
      <c r="N452" s="48"/>
      <c r="O452" s="48"/>
      <c r="P452" s="48"/>
      <c r="Q452" s="48"/>
      <c r="R452" s="48"/>
      <c r="S452" s="48"/>
      <c r="T452" s="48"/>
      <c r="U452" s="48"/>
      <c r="V452" s="48"/>
    </row>
    <row r="453" spans="2:22" s="46" customFormat="1" ht="15" customHeight="1">
      <c r="B453" s="48"/>
      <c r="C453" s="48"/>
      <c r="D453" s="48"/>
      <c r="E453" s="48"/>
      <c r="F453" s="48"/>
      <c r="G453" s="48"/>
      <c r="H453" s="48"/>
      <c r="I453" s="48"/>
      <c r="J453" s="48"/>
      <c r="K453" s="48"/>
      <c r="L453" s="48"/>
      <c r="M453" s="48"/>
      <c r="N453" s="48"/>
      <c r="O453" s="48"/>
      <c r="P453" s="48"/>
      <c r="Q453" s="48"/>
      <c r="R453" s="48"/>
      <c r="S453" s="48"/>
      <c r="T453" s="48"/>
      <c r="U453" s="48"/>
      <c r="V453" s="48"/>
    </row>
    <row r="454" spans="2:22" s="46" customFormat="1" ht="15" customHeight="1">
      <c r="B454" s="48"/>
      <c r="C454" s="48"/>
      <c r="D454" s="48"/>
      <c r="E454" s="48"/>
      <c r="F454" s="48"/>
      <c r="G454" s="48"/>
      <c r="H454" s="48"/>
      <c r="I454" s="48"/>
      <c r="J454" s="48"/>
      <c r="K454" s="48"/>
      <c r="L454" s="48"/>
      <c r="M454" s="48"/>
      <c r="N454" s="48"/>
      <c r="O454" s="48"/>
      <c r="P454" s="48"/>
      <c r="Q454" s="48"/>
      <c r="R454" s="48"/>
      <c r="S454" s="48"/>
      <c r="T454" s="48"/>
      <c r="U454" s="48"/>
      <c r="V454" s="48"/>
    </row>
    <row r="455" spans="2:22" s="46" customFormat="1" ht="15" customHeight="1">
      <c r="B455" s="48"/>
      <c r="C455" s="48"/>
      <c r="D455" s="48"/>
      <c r="E455" s="48"/>
      <c r="F455" s="48"/>
      <c r="G455" s="48"/>
      <c r="H455" s="48"/>
      <c r="I455" s="48"/>
      <c r="J455" s="48"/>
      <c r="K455" s="48"/>
      <c r="L455" s="48"/>
      <c r="M455" s="48"/>
      <c r="N455" s="48"/>
      <c r="O455" s="48"/>
      <c r="P455" s="48"/>
      <c r="Q455" s="48"/>
      <c r="R455" s="48"/>
      <c r="S455" s="48"/>
      <c r="T455" s="48"/>
      <c r="U455" s="48"/>
      <c r="V455" s="48"/>
    </row>
    <row r="456" spans="2:22" s="46" customFormat="1" ht="15" customHeight="1">
      <c r="B456" s="48"/>
      <c r="C456" s="48"/>
      <c r="D456" s="48"/>
      <c r="E456" s="48"/>
      <c r="F456" s="48"/>
      <c r="G456" s="48"/>
      <c r="H456" s="48"/>
      <c r="I456" s="48"/>
      <c r="J456" s="48"/>
      <c r="K456" s="48"/>
      <c r="L456" s="48"/>
      <c r="M456" s="48"/>
      <c r="N456" s="48"/>
      <c r="O456" s="48"/>
      <c r="P456" s="48"/>
      <c r="Q456" s="48"/>
      <c r="R456" s="48"/>
      <c r="S456" s="48"/>
      <c r="T456" s="48"/>
      <c r="U456" s="48"/>
      <c r="V456" s="48"/>
    </row>
    <row r="457" spans="2:22" s="46" customFormat="1" ht="15" customHeight="1">
      <c r="B457" s="48"/>
      <c r="C457" s="48"/>
      <c r="D457" s="48"/>
      <c r="E457" s="48"/>
      <c r="F457" s="48"/>
      <c r="G457" s="48"/>
      <c r="H457" s="48"/>
      <c r="I457" s="48"/>
      <c r="J457" s="48"/>
      <c r="K457" s="48"/>
      <c r="L457" s="48"/>
      <c r="M457" s="48"/>
      <c r="N457" s="48"/>
      <c r="O457" s="48"/>
      <c r="P457" s="48"/>
      <c r="Q457" s="48"/>
      <c r="R457" s="48"/>
      <c r="S457" s="48"/>
      <c r="T457" s="48"/>
      <c r="U457" s="48"/>
      <c r="V457" s="48"/>
    </row>
    <row r="458" spans="2:22" s="46" customFormat="1" ht="15" customHeight="1">
      <c r="B458" s="48"/>
      <c r="C458" s="48"/>
      <c r="D458" s="48"/>
      <c r="E458" s="48"/>
      <c r="F458" s="48"/>
      <c r="G458" s="48"/>
      <c r="H458" s="48"/>
      <c r="I458" s="48"/>
      <c r="J458" s="48"/>
      <c r="K458" s="48"/>
      <c r="L458" s="48"/>
      <c r="M458" s="48"/>
      <c r="N458" s="48"/>
      <c r="O458" s="48"/>
      <c r="P458" s="48"/>
      <c r="Q458" s="48"/>
      <c r="R458" s="48"/>
      <c r="S458" s="48"/>
      <c r="T458" s="48"/>
      <c r="U458" s="48"/>
      <c r="V458" s="48"/>
    </row>
    <row r="459" spans="2:22" s="46" customFormat="1" ht="15" customHeight="1">
      <c r="B459" s="48"/>
      <c r="C459" s="48"/>
      <c r="D459" s="48"/>
      <c r="E459" s="48"/>
      <c r="F459" s="48"/>
      <c r="G459" s="48"/>
      <c r="H459" s="48"/>
      <c r="I459" s="48"/>
      <c r="J459" s="48"/>
      <c r="K459" s="48"/>
      <c r="L459" s="48"/>
      <c r="M459" s="48"/>
      <c r="N459" s="48"/>
      <c r="O459" s="48"/>
      <c r="P459" s="48"/>
      <c r="Q459" s="48"/>
      <c r="R459" s="48"/>
      <c r="S459" s="48"/>
      <c r="T459" s="48"/>
      <c r="U459" s="48"/>
      <c r="V459" s="48"/>
    </row>
    <row r="460" spans="2:22" s="46" customFormat="1" ht="15" customHeight="1">
      <c r="B460" s="48"/>
      <c r="C460" s="48"/>
      <c r="D460" s="48"/>
      <c r="E460" s="48"/>
      <c r="F460" s="48"/>
      <c r="G460" s="48"/>
      <c r="H460" s="48"/>
      <c r="I460" s="48"/>
      <c r="J460" s="48"/>
      <c r="K460" s="48"/>
      <c r="L460" s="48"/>
      <c r="M460" s="48"/>
      <c r="N460" s="48"/>
      <c r="O460" s="48"/>
      <c r="P460" s="48"/>
      <c r="Q460" s="48"/>
      <c r="R460" s="48"/>
      <c r="S460" s="48"/>
      <c r="T460" s="48"/>
      <c r="U460" s="48"/>
      <c r="V460" s="48"/>
    </row>
    <row r="461" spans="2:22" s="46" customFormat="1" ht="15" customHeight="1">
      <c r="B461" s="48"/>
      <c r="C461" s="48"/>
      <c r="D461" s="48"/>
      <c r="E461" s="48"/>
      <c r="F461" s="48"/>
      <c r="G461" s="48"/>
      <c r="H461" s="48"/>
      <c r="I461" s="48"/>
      <c r="J461" s="48"/>
      <c r="K461" s="48"/>
      <c r="L461" s="48"/>
      <c r="M461" s="48"/>
      <c r="N461" s="48"/>
      <c r="O461" s="48"/>
      <c r="P461" s="48"/>
      <c r="Q461" s="48"/>
      <c r="R461" s="48"/>
      <c r="S461" s="48"/>
      <c r="T461" s="48"/>
      <c r="U461" s="48"/>
      <c r="V461" s="48"/>
    </row>
    <row r="462" spans="2:22" s="46" customFormat="1" ht="15" customHeight="1">
      <c r="B462" s="48"/>
      <c r="C462" s="48"/>
      <c r="D462" s="48"/>
      <c r="E462" s="48"/>
      <c r="F462" s="48"/>
      <c r="G462" s="48"/>
      <c r="H462" s="48"/>
      <c r="I462" s="48"/>
      <c r="J462" s="48"/>
      <c r="K462" s="48"/>
      <c r="L462" s="48"/>
      <c r="M462" s="48"/>
      <c r="N462" s="48"/>
      <c r="O462" s="48"/>
      <c r="P462" s="48"/>
      <c r="Q462" s="48"/>
      <c r="R462" s="48"/>
      <c r="S462" s="48"/>
      <c r="T462" s="48"/>
      <c r="U462" s="48"/>
      <c r="V462" s="48"/>
    </row>
    <row r="463" spans="2:22" s="46" customFormat="1" ht="15" customHeight="1">
      <c r="B463" s="48"/>
      <c r="C463" s="48"/>
      <c r="D463" s="48"/>
      <c r="E463" s="48"/>
      <c r="F463" s="48"/>
      <c r="G463" s="48"/>
      <c r="H463" s="48"/>
      <c r="I463" s="48"/>
      <c r="J463" s="48"/>
      <c r="K463" s="48"/>
      <c r="L463" s="48"/>
      <c r="M463" s="48"/>
      <c r="N463" s="48"/>
      <c r="O463" s="48"/>
      <c r="P463" s="48"/>
      <c r="Q463" s="48"/>
      <c r="R463" s="48"/>
      <c r="S463" s="48"/>
      <c r="T463" s="48"/>
      <c r="U463" s="48"/>
      <c r="V463" s="48"/>
    </row>
    <row r="464" spans="2:22" s="46" customFormat="1" ht="15" customHeight="1">
      <c r="B464" s="48"/>
      <c r="C464" s="48"/>
      <c r="D464" s="48"/>
      <c r="E464" s="48"/>
      <c r="F464" s="48"/>
      <c r="G464" s="48"/>
      <c r="H464" s="48"/>
      <c r="I464" s="48"/>
      <c r="J464" s="48"/>
      <c r="K464" s="48"/>
      <c r="L464" s="48"/>
      <c r="M464" s="48"/>
      <c r="N464" s="48"/>
      <c r="O464" s="48"/>
      <c r="P464" s="48"/>
      <c r="Q464" s="48"/>
      <c r="R464" s="48"/>
      <c r="S464" s="48"/>
      <c r="T464" s="48"/>
      <c r="U464" s="48"/>
      <c r="V464" s="48"/>
    </row>
    <row r="465" spans="2:22" s="46" customFormat="1" ht="15" customHeight="1">
      <c r="B465" s="48"/>
      <c r="C465" s="48"/>
      <c r="D465" s="48"/>
      <c r="E465" s="48"/>
      <c r="F465" s="48"/>
      <c r="G465" s="48"/>
      <c r="H465" s="48"/>
      <c r="I465" s="48"/>
      <c r="J465" s="48"/>
      <c r="K465" s="48"/>
      <c r="L465" s="48"/>
      <c r="M465" s="48"/>
      <c r="N465" s="48"/>
      <c r="O465" s="48"/>
      <c r="P465" s="48"/>
      <c r="Q465" s="48"/>
      <c r="R465" s="48"/>
      <c r="S465" s="48"/>
      <c r="T465" s="48"/>
      <c r="U465" s="48"/>
      <c r="V465" s="48"/>
    </row>
    <row r="466" spans="2:22" s="46" customFormat="1" ht="15" customHeight="1">
      <c r="B466" s="48"/>
      <c r="C466" s="48"/>
      <c r="D466" s="48"/>
      <c r="E466" s="48"/>
      <c r="F466" s="48"/>
      <c r="G466" s="48"/>
      <c r="H466" s="48"/>
      <c r="I466" s="48"/>
      <c r="J466" s="48"/>
      <c r="K466" s="48"/>
      <c r="L466" s="48"/>
      <c r="M466" s="48"/>
      <c r="N466" s="48"/>
      <c r="O466" s="48"/>
      <c r="P466" s="48"/>
      <c r="Q466" s="48"/>
      <c r="R466" s="48"/>
      <c r="S466" s="48"/>
      <c r="T466" s="48"/>
      <c r="U466" s="48"/>
      <c r="V466" s="48"/>
    </row>
    <row r="467" spans="2:22" s="46" customFormat="1" ht="15" customHeight="1">
      <c r="B467" s="48"/>
      <c r="C467" s="48"/>
      <c r="D467" s="48"/>
      <c r="E467" s="48"/>
      <c r="F467" s="48"/>
      <c r="G467" s="48"/>
      <c r="H467" s="48"/>
      <c r="I467" s="48"/>
      <c r="J467" s="48"/>
      <c r="K467" s="48"/>
      <c r="L467" s="48"/>
      <c r="M467" s="48"/>
      <c r="N467" s="48"/>
      <c r="O467" s="48"/>
      <c r="P467" s="48"/>
      <c r="Q467" s="48"/>
      <c r="R467" s="48"/>
      <c r="S467" s="48"/>
      <c r="T467" s="48"/>
      <c r="U467" s="48"/>
      <c r="V467" s="48"/>
    </row>
    <row r="468" spans="2:22" s="46" customFormat="1" ht="15" customHeight="1">
      <c r="B468" s="48"/>
      <c r="C468" s="48"/>
      <c r="D468" s="48"/>
      <c r="E468" s="48"/>
      <c r="F468" s="48"/>
      <c r="G468" s="48"/>
      <c r="H468" s="48"/>
      <c r="I468" s="48"/>
      <c r="J468" s="48"/>
      <c r="K468" s="48"/>
      <c r="L468" s="48"/>
      <c r="M468" s="48"/>
      <c r="N468" s="48"/>
      <c r="O468" s="48"/>
      <c r="P468" s="48"/>
      <c r="Q468" s="48"/>
      <c r="R468" s="48"/>
      <c r="S468" s="48"/>
      <c r="T468" s="48"/>
      <c r="U468" s="48"/>
      <c r="V468" s="48"/>
    </row>
    <row r="469" spans="2:22" s="46" customFormat="1" ht="15" customHeight="1">
      <c r="B469" s="48"/>
      <c r="C469" s="48"/>
      <c r="D469" s="48"/>
      <c r="E469" s="48"/>
      <c r="F469" s="48"/>
      <c r="G469" s="48"/>
      <c r="H469" s="48"/>
      <c r="I469" s="48"/>
      <c r="J469" s="48"/>
      <c r="K469" s="48"/>
      <c r="L469" s="48"/>
      <c r="M469" s="48"/>
      <c r="N469" s="48"/>
      <c r="O469" s="48"/>
      <c r="P469" s="48"/>
      <c r="Q469" s="48"/>
      <c r="R469" s="48"/>
      <c r="S469" s="48"/>
      <c r="T469" s="48"/>
      <c r="U469" s="48"/>
      <c r="V469" s="48"/>
    </row>
    <row r="470" spans="2:22" s="46" customFormat="1" ht="15" customHeight="1">
      <c r="B470" s="48"/>
      <c r="C470" s="48"/>
      <c r="D470" s="48"/>
      <c r="E470" s="48"/>
      <c r="F470" s="48"/>
      <c r="G470" s="48"/>
      <c r="H470" s="48"/>
      <c r="I470" s="48"/>
      <c r="J470" s="48"/>
      <c r="K470" s="48"/>
      <c r="L470" s="48"/>
      <c r="M470" s="48"/>
      <c r="N470" s="48"/>
      <c r="O470" s="48"/>
      <c r="P470" s="48"/>
      <c r="Q470" s="48"/>
      <c r="R470" s="48"/>
      <c r="S470" s="48"/>
      <c r="T470" s="48"/>
      <c r="U470" s="48"/>
      <c r="V470" s="48"/>
    </row>
    <row r="471" spans="2:22" s="46" customFormat="1" ht="15" customHeight="1">
      <c r="B471" s="48"/>
      <c r="C471" s="48"/>
      <c r="D471" s="48"/>
      <c r="E471" s="48"/>
      <c r="F471" s="48"/>
      <c r="G471" s="48"/>
      <c r="H471" s="48"/>
      <c r="I471" s="48"/>
      <c r="J471" s="48"/>
      <c r="K471" s="48"/>
      <c r="L471" s="48"/>
      <c r="M471" s="48"/>
      <c r="N471" s="48"/>
      <c r="O471" s="48"/>
      <c r="P471" s="48"/>
      <c r="Q471" s="48"/>
      <c r="R471" s="48"/>
      <c r="S471" s="48"/>
      <c r="T471" s="48"/>
      <c r="U471" s="48"/>
      <c r="V471" s="48"/>
    </row>
    <row r="472" spans="2:22" s="46" customFormat="1" ht="15" customHeight="1">
      <c r="B472" s="48"/>
      <c r="C472" s="48"/>
      <c r="D472" s="48"/>
      <c r="E472" s="48"/>
      <c r="F472" s="48"/>
      <c r="G472" s="48"/>
      <c r="H472" s="48"/>
      <c r="I472" s="48"/>
      <c r="J472" s="48"/>
      <c r="K472" s="48"/>
      <c r="L472" s="48"/>
      <c r="M472" s="48"/>
      <c r="N472" s="48"/>
      <c r="O472" s="48"/>
      <c r="P472" s="48"/>
      <c r="Q472" s="48"/>
      <c r="R472" s="48"/>
      <c r="S472" s="48"/>
      <c r="T472" s="48"/>
      <c r="U472" s="48"/>
      <c r="V472" s="48"/>
    </row>
    <row r="473" spans="2:22" s="46" customFormat="1" ht="15" customHeight="1">
      <c r="B473" s="48"/>
      <c r="C473" s="48"/>
      <c r="D473" s="48"/>
      <c r="E473" s="48"/>
      <c r="F473" s="48"/>
      <c r="G473" s="48"/>
      <c r="H473" s="48"/>
      <c r="I473" s="48"/>
      <c r="J473" s="48"/>
      <c r="K473" s="48"/>
      <c r="L473" s="48"/>
      <c r="M473" s="48"/>
      <c r="N473" s="48"/>
      <c r="O473" s="48"/>
      <c r="P473" s="48"/>
      <c r="Q473" s="48"/>
      <c r="R473" s="48"/>
      <c r="S473" s="48"/>
      <c r="T473" s="48"/>
      <c r="U473" s="48"/>
      <c r="V473" s="48"/>
    </row>
    <row r="474" spans="2:22" s="46" customFormat="1" ht="15" customHeight="1">
      <c r="B474" s="48"/>
      <c r="C474" s="48"/>
      <c r="D474" s="48"/>
      <c r="E474" s="48"/>
      <c r="F474" s="48"/>
      <c r="G474" s="48"/>
      <c r="H474" s="48"/>
      <c r="I474" s="48"/>
      <c r="J474" s="48"/>
      <c r="K474" s="48"/>
      <c r="L474" s="48"/>
      <c r="M474" s="48"/>
      <c r="N474" s="48"/>
      <c r="O474" s="48"/>
      <c r="P474" s="48"/>
      <c r="Q474" s="48"/>
      <c r="R474" s="48"/>
      <c r="S474" s="48"/>
      <c r="T474" s="48"/>
      <c r="U474" s="48"/>
      <c r="V474" s="48"/>
    </row>
    <row r="475" spans="2:22" s="46" customFormat="1" ht="15" customHeight="1">
      <c r="B475" s="48"/>
      <c r="C475" s="48"/>
      <c r="D475" s="48"/>
      <c r="E475" s="48"/>
      <c r="F475" s="48"/>
      <c r="G475" s="48"/>
      <c r="H475" s="48"/>
      <c r="I475" s="48"/>
      <c r="J475" s="48"/>
      <c r="K475" s="48"/>
      <c r="L475" s="48"/>
      <c r="M475" s="48"/>
      <c r="N475" s="48"/>
      <c r="O475" s="48"/>
      <c r="P475" s="48"/>
      <c r="Q475" s="48"/>
      <c r="R475" s="48"/>
      <c r="S475" s="48"/>
      <c r="T475" s="48"/>
      <c r="U475" s="48"/>
      <c r="V475" s="48"/>
    </row>
    <row r="476" spans="2:22" s="46" customFormat="1" ht="15" customHeight="1">
      <c r="B476" s="48"/>
      <c r="C476" s="48"/>
      <c r="D476" s="48"/>
      <c r="E476" s="48"/>
      <c r="F476" s="48"/>
      <c r="G476" s="48"/>
      <c r="H476" s="48"/>
      <c r="I476" s="48"/>
      <c r="J476" s="48"/>
      <c r="K476" s="48"/>
      <c r="L476" s="48"/>
      <c r="M476" s="48"/>
      <c r="N476" s="48"/>
      <c r="O476" s="48"/>
      <c r="P476" s="48"/>
      <c r="Q476" s="48"/>
      <c r="R476" s="48"/>
      <c r="S476" s="48"/>
      <c r="T476" s="48"/>
      <c r="U476" s="48"/>
      <c r="V476" s="48"/>
    </row>
    <row r="477" spans="2:22" s="46" customFormat="1" ht="15" customHeight="1">
      <c r="B477" s="48"/>
      <c r="C477" s="48"/>
      <c r="D477" s="48"/>
      <c r="E477" s="48"/>
      <c r="F477" s="48"/>
      <c r="G477" s="48"/>
      <c r="H477" s="48"/>
      <c r="I477" s="48"/>
      <c r="J477" s="48"/>
      <c r="K477" s="48"/>
      <c r="L477" s="48"/>
      <c r="M477" s="48"/>
      <c r="N477" s="48"/>
      <c r="O477" s="48"/>
      <c r="P477" s="48"/>
      <c r="Q477" s="48"/>
      <c r="R477" s="48"/>
      <c r="S477" s="48"/>
      <c r="T477" s="48"/>
      <c r="U477" s="48"/>
      <c r="V477" s="48"/>
    </row>
    <row r="478" spans="2:22" s="46" customFormat="1" ht="15" customHeight="1">
      <c r="B478" s="48"/>
      <c r="C478" s="48"/>
      <c r="D478" s="48"/>
      <c r="E478" s="48"/>
      <c r="F478" s="48"/>
      <c r="G478" s="48"/>
      <c r="H478" s="48"/>
      <c r="I478" s="48"/>
      <c r="J478" s="48"/>
      <c r="K478" s="48"/>
      <c r="L478" s="48"/>
      <c r="M478" s="48"/>
      <c r="N478" s="48"/>
      <c r="O478" s="48"/>
      <c r="P478" s="48"/>
      <c r="Q478" s="48"/>
      <c r="R478" s="48"/>
      <c r="S478" s="48"/>
      <c r="T478" s="48"/>
      <c r="U478" s="48"/>
      <c r="V478" s="48"/>
    </row>
    <row r="479" spans="2:22" s="46" customFormat="1" ht="15" customHeight="1">
      <c r="B479" s="48"/>
      <c r="C479" s="48"/>
      <c r="D479" s="48"/>
      <c r="E479" s="48"/>
      <c r="F479" s="48"/>
      <c r="G479" s="48"/>
      <c r="H479" s="48"/>
      <c r="I479" s="48"/>
      <c r="J479" s="48"/>
      <c r="K479" s="48"/>
      <c r="L479" s="48"/>
      <c r="M479" s="48"/>
      <c r="N479" s="48"/>
      <c r="O479" s="48"/>
      <c r="P479" s="48"/>
      <c r="Q479" s="48"/>
      <c r="R479" s="48"/>
      <c r="S479" s="48"/>
      <c r="T479" s="48"/>
      <c r="U479" s="48"/>
      <c r="V479" s="48"/>
    </row>
    <row r="480" spans="2:22" s="46" customFormat="1" ht="15" customHeight="1">
      <c r="B480" s="48"/>
      <c r="C480" s="48"/>
      <c r="D480" s="48"/>
      <c r="E480" s="48"/>
      <c r="F480" s="48"/>
      <c r="G480" s="48"/>
      <c r="H480" s="48"/>
      <c r="I480" s="48"/>
      <c r="J480" s="48"/>
      <c r="K480" s="48"/>
      <c r="L480" s="48"/>
      <c r="M480" s="48"/>
      <c r="N480" s="48"/>
      <c r="O480" s="48"/>
      <c r="P480" s="48"/>
      <c r="Q480" s="48"/>
      <c r="R480" s="48"/>
      <c r="S480" s="48"/>
      <c r="T480" s="48"/>
      <c r="U480" s="48"/>
      <c r="V480" s="48"/>
    </row>
    <row r="481" spans="2:22" s="46" customFormat="1" ht="15" customHeight="1">
      <c r="B481" s="48"/>
      <c r="C481" s="48"/>
      <c r="D481" s="48"/>
      <c r="E481" s="48"/>
      <c r="F481" s="48"/>
      <c r="G481" s="48"/>
      <c r="H481" s="48"/>
      <c r="I481" s="48"/>
      <c r="J481" s="48"/>
      <c r="K481" s="48"/>
      <c r="L481" s="48"/>
      <c r="M481" s="48"/>
      <c r="N481" s="48"/>
      <c r="O481" s="48"/>
      <c r="P481" s="48"/>
      <c r="Q481" s="48"/>
      <c r="R481" s="48"/>
      <c r="S481" s="48"/>
      <c r="T481" s="48"/>
      <c r="U481" s="48"/>
      <c r="V481" s="48"/>
    </row>
    <row r="482" spans="2:22" s="46" customFormat="1" ht="15" customHeight="1">
      <c r="B482" s="48"/>
      <c r="C482" s="48"/>
      <c r="D482" s="48"/>
      <c r="E482" s="48"/>
      <c r="F482" s="48"/>
      <c r="G482" s="48"/>
      <c r="H482" s="48"/>
      <c r="I482" s="48"/>
      <c r="J482" s="48"/>
      <c r="K482" s="48"/>
      <c r="L482" s="48"/>
      <c r="M482" s="48"/>
      <c r="N482" s="48"/>
      <c r="O482" s="48"/>
      <c r="P482" s="48"/>
      <c r="Q482" s="48"/>
      <c r="R482" s="48"/>
      <c r="S482" s="48"/>
      <c r="T482" s="48"/>
      <c r="U482" s="48"/>
      <c r="V482" s="48"/>
    </row>
    <row r="483" spans="2:22" s="46" customFormat="1" ht="15" customHeight="1">
      <c r="B483" s="48"/>
      <c r="C483" s="48"/>
      <c r="D483" s="48"/>
      <c r="E483" s="48"/>
      <c r="F483" s="48"/>
      <c r="G483" s="48"/>
      <c r="H483" s="48"/>
      <c r="I483" s="48"/>
      <c r="J483" s="48"/>
      <c r="K483" s="48"/>
      <c r="L483" s="48"/>
      <c r="M483" s="48"/>
      <c r="N483" s="48"/>
      <c r="O483" s="48"/>
      <c r="P483" s="48"/>
      <c r="Q483" s="48"/>
      <c r="R483" s="48"/>
      <c r="S483" s="48"/>
      <c r="T483" s="48"/>
      <c r="U483" s="48"/>
      <c r="V483" s="48"/>
    </row>
    <row r="484" spans="2:22" s="46" customFormat="1" ht="15" customHeight="1">
      <c r="B484" s="48"/>
      <c r="C484" s="48"/>
      <c r="D484" s="48"/>
      <c r="E484" s="48"/>
      <c r="F484" s="48"/>
      <c r="G484" s="48"/>
      <c r="H484" s="48"/>
      <c r="I484" s="48"/>
      <c r="J484" s="48"/>
      <c r="K484" s="48"/>
      <c r="L484" s="48"/>
      <c r="M484" s="48"/>
      <c r="N484" s="48"/>
      <c r="O484" s="48"/>
      <c r="P484" s="48"/>
      <c r="Q484" s="48"/>
      <c r="R484" s="48"/>
      <c r="S484" s="48"/>
      <c r="T484" s="48"/>
      <c r="U484" s="48"/>
      <c r="V484" s="48"/>
    </row>
    <row r="485" spans="2:22" s="46" customFormat="1" ht="15" customHeight="1">
      <c r="B485" s="48"/>
      <c r="C485" s="48"/>
      <c r="D485" s="48"/>
      <c r="E485" s="48"/>
      <c r="F485" s="48"/>
      <c r="G485" s="48"/>
      <c r="H485" s="48"/>
      <c r="I485" s="48"/>
      <c r="J485" s="48"/>
      <c r="K485" s="48"/>
      <c r="L485" s="48"/>
      <c r="M485" s="48"/>
      <c r="N485" s="48"/>
      <c r="O485" s="48"/>
      <c r="P485" s="48"/>
      <c r="Q485" s="48"/>
      <c r="R485" s="48"/>
      <c r="S485" s="48"/>
      <c r="T485" s="48"/>
      <c r="U485" s="48"/>
      <c r="V485" s="48"/>
    </row>
    <row r="486" spans="2:22" s="46" customFormat="1" ht="15" customHeight="1">
      <c r="B486" s="48"/>
      <c r="C486" s="48"/>
      <c r="D486" s="48"/>
      <c r="E486" s="48"/>
      <c r="F486" s="48"/>
      <c r="G486" s="48"/>
      <c r="H486" s="48"/>
      <c r="I486" s="48"/>
      <c r="J486" s="48"/>
      <c r="K486" s="48"/>
      <c r="L486" s="48"/>
      <c r="M486" s="48"/>
      <c r="N486" s="48"/>
      <c r="O486" s="48"/>
      <c r="P486" s="48"/>
      <c r="Q486" s="48"/>
      <c r="R486" s="48"/>
      <c r="S486" s="48"/>
      <c r="T486" s="48"/>
      <c r="U486" s="48"/>
      <c r="V486" s="48"/>
    </row>
    <row r="487" spans="2:22" s="46" customFormat="1" ht="15" customHeight="1">
      <c r="B487" s="48"/>
      <c r="C487" s="48"/>
      <c r="D487" s="48"/>
      <c r="E487" s="48"/>
      <c r="F487" s="48"/>
      <c r="G487" s="48"/>
      <c r="H487" s="48"/>
      <c r="I487" s="48"/>
      <c r="J487" s="48"/>
      <c r="K487" s="48"/>
      <c r="L487" s="48"/>
      <c r="M487" s="48"/>
      <c r="N487" s="48"/>
      <c r="O487" s="48"/>
      <c r="P487" s="48"/>
      <c r="Q487" s="48"/>
      <c r="R487" s="48"/>
      <c r="S487" s="48"/>
      <c r="T487" s="48"/>
      <c r="U487" s="48"/>
      <c r="V487" s="48"/>
    </row>
    <row r="488" spans="2:22" s="46" customFormat="1" ht="15" customHeight="1">
      <c r="B488" s="48"/>
      <c r="C488" s="48"/>
      <c r="D488" s="48"/>
      <c r="E488" s="48"/>
      <c r="F488" s="48"/>
      <c r="G488" s="48"/>
      <c r="H488" s="48"/>
      <c r="I488" s="48"/>
      <c r="J488" s="48"/>
      <c r="K488" s="48"/>
      <c r="L488" s="48"/>
      <c r="M488" s="48"/>
      <c r="N488" s="48"/>
      <c r="O488" s="48"/>
      <c r="P488" s="48"/>
      <c r="Q488" s="48"/>
      <c r="R488" s="48"/>
      <c r="S488" s="48"/>
      <c r="T488" s="48"/>
      <c r="U488" s="48"/>
      <c r="V488" s="48"/>
    </row>
    <row r="489" spans="2:22" s="46" customFormat="1" ht="15" customHeight="1">
      <c r="B489" s="48"/>
      <c r="C489" s="48"/>
      <c r="D489" s="48"/>
      <c r="E489" s="48"/>
      <c r="F489" s="48"/>
      <c r="G489" s="48"/>
      <c r="H489" s="48"/>
      <c r="I489" s="48"/>
      <c r="J489" s="48"/>
      <c r="K489" s="48"/>
      <c r="L489" s="48"/>
      <c r="M489" s="48"/>
      <c r="N489" s="48"/>
      <c r="O489" s="48"/>
      <c r="P489" s="48"/>
      <c r="Q489" s="48"/>
      <c r="R489" s="48"/>
      <c r="S489" s="48"/>
      <c r="T489" s="48"/>
      <c r="U489" s="48"/>
      <c r="V489" s="48"/>
    </row>
    <row r="490" spans="2:22" s="46" customFormat="1" ht="15" customHeight="1">
      <c r="B490" s="48"/>
      <c r="C490" s="48"/>
      <c r="D490" s="48"/>
      <c r="E490" s="48"/>
      <c r="F490" s="48"/>
      <c r="G490" s="48"/>
      <c r="H490" s="48"/>
      <c r="I490" s="48"/>
      <c r="J490" s="48"/>
      <c r="K490" s="48"/>
      <c r="L490" s="48"/>
      <c r="M490" s="48"/>
      <c r="N490" s="48"/>
      <c r="O490" s="48"/>
      <c r="P490" s="48"/>
      <c r="Q490" s="48"/>
      <c r="R490" s="48"/>
      <c r="S490" s="48"/>
      <c r="T490" s="48"/>
      <c r="U490" s="48"/>
      <c r="V490" s="48"/>
    </row>
    <row r="491" spans="2:22" s="46" customFormat="1" ht="15" customHeight="1">
      <c r="B491" s="48"/>
      <c r="C491" s="48"/>
      <c r="D491" s="48"/>
      <c r="E491" s="48"/>
      <c r="F491" s="48"/>
      <c r="G491" s="48"/>
      <c r="H491" s="48"/>
      <c r="I491" s="48"/>
      <c r="J491" s="48"/>
      <c r="K491" s="48"/>
      <c r="L491" s="48"/>
      <c r="M491" s="48"/>
      <c r="N491" s="48"/>
      <c r="O491" s="48"/>
      <c r="P491" s="48"/>
      <c r="Q491" s="48"/>
      <c r="R491" s="48"/>
      <c r="S491" s="48"/>
      <c r="T491" s="48"/>
      <c r="U491" s="48"/>
      <c r="V491" s="48"/>
    </row>
    <row r="492" spans="2:22" s="46" customFormat="1" ht="15" customHeight="1">
      <c r="B492" s="48"/>
      <c r="C492" s="48"/>
      <c r="D492" s="48"/>
      <c r="E492" s="48"/>
      <c r="F492" s="48"/>
      <c r="G492" s="48"/>
      <c r="H492" s="48"/>
      <c r="I492" s="48"/>
      <c r="J492" s="48"/>
      <c r="K492" s="48"/>
      <c r="L492" s="48"/>
      <c r="M492" s="48"/>
      <c r="N492" s="48"/>
      <c r="O492" s="48"/>
      <c r="P492" s="48"/>
      <c r="Q492" s="48"/>
      <c r="R492" s="48"/>
      <c r="S492" s="48"/>
      <c r="T492" s="48"/>
      <c r="U492" s="48"/>
      <c r="V492" s="48"/>
    </row>
    <row r="493" spans="2:22" s="46" customFormat="1" ht="15" customHeight="1">
      <c r="B493" s="48"/>
      <c r="C493" s="48"/>
      <c r="D493" s="48"/>
      <c r="E493" s="48"/>
      <c r="F493" s="48"/>
      <c r="G493" s="48"/>
      <c r="H493" s="48"/>
      <c r="I493" s="48"/>
      <c r="J493" s="48"/>
      <c r="K493" s="48"/>
      <c r="L493" s="48"/>
      <c r="M493" s="48"/>
      <c r="N493" s="48"/>
      <c r="O493" s="48"/>
      <c r="P493" s="48"/>
      <c r="Q493" s="48"/>
      <c r="R493" s="48"/>
      <c r="S493" s="48"/>
      <c r="T493" s="48"/>
      <c r="U493" s="48"/>
      <c r="V493" s="48"/>
    </row>
    <row r="494" spans="2:22" s="46" customFormat="1" ht="15" customHeight="1">
      <c r="B494" s="48"/>
      <c r="C494" s="48"/>
      <c r="D494" s="48"/>
      <c r="E494" s="48"/>
      <c r="F494" s="48"/>
      <c r="G494" s="48"/>
      <c r="H494" s="48"/>
      <c r="I494" s="48"/>
      <c r="J494" s="48"/>
      <c r="K494" s="48"/>
      <c r="L494" s="48"/>
      <c r="M494" s="48"/>
      <c r="N494" s="48"/>
      <c r="O494" s="48"/>
      <c r="P494" s="48"/>
      <c r="Q494" s="48"/>
      <c r="R494" s="48"/>
      <c r="S494" s="48"/>
      <c r="T494" s="48"/>
      <c r="U494" s="48"/>
      <c r="V494" s="48"/>
    </row>
    <row r="495" spans="2:22" s="46" customFormat="1" ht="15" customHeight="1">
      <c r="B495" s="48"/>
      <c r="C495" s="48"/>
      <c r="D495" s="48"/>
      <c r="E495" s="48"/>
      <c r="F495" s="48"/>
      <c r="G495" s="48"/>
      <c r="H495" s="48"/>
      <c r="I495" s="48"/>
      <c r="J495" s="48"/>
      <c r="K495" s="48"/>
      <c r="L495" s="48"/>
      <c r="M495" s="48"/>
      <c r="N495" s="48"/>
      <c r="O495" s="48"/>
      <c r="P495" s="48"/>
      <c r="Q495" s="48"/>
      <c r="R495" s="48"/>
      <c r="S495" s="48"/>
      <c r="T495" s="48"/>
      <c r="U495" s="48"/>
      <c r="V495" s="48"/>
    </row>
    <row r="496" spans="2:22" s="46" customFormat="1" ht="15" customHeight="1">
      <c r="B496" s="48"/>
      <c r="C496" s="48"/>
      <c r="D496" s="48"/>
      <c r="E496" s="48"/>
      <c r="F496" s="48"/>
      <c r="G496" s="48"/>
      <c r="H496" s="48"/>
      <c r="I496" s="48"/>
      <c r="J496" s="48"/>
      <c r="K496" s="48"/>
      <c r="L496" s="48"/>
      <c r="M496" s="48"/>
      <c r="N496" s="48"/>
      <c r="O496" s="48"/>
      <c r="P496" s="48"/>
      <c r="Q496" s="48"/>
      <c r="R496" s="48"/>
      <c r="S496" s="48"/>
      <c r="T496" s="48"/>
      <c r="U496" s="48"/>
      <c r="V496" s="48"/>
    </row>
    <row r="497" spans="2:22" s="46" customFormat="1" ht="15" customHeight="1">
      <c r="B497" s="48"/>
      <c r="C497" s="48"/>
      <c r="D497" s="48"/>
      <c r="E497" s="48"/>
      <c r="F497" s="48"/>
      <c r="G497" s="48"/>
      <c r="H497" s="48"/>
      <c r="I497" s="48"/>
      <c r="J497" s="48"/>
      <c r="K497" s="48"/>
      <c r="L497" s="48"/>
      <c r="M497" s="48"/>
      <c r="N497" s="48"/>
      <c r="O497" s="48"/>
      <c r="P497" s="48"/>
      <c r="Q497" s="48"/>
      <c r="R497" s="48"/>
      <c r="S497" s="48"/>
      <c r="T497" s="48"/>
      <c r="U497" s="48"/>
      <c r="V497" s="48"/>
    </row>
    <row r="498" spans="2:22" s="46" customFormat="1" ht="15" customHeight="1">
      <c r="B498" s="48"/>
      <c r="C498" s="48"/>
      <c r="D498" s="48"/>
      <c r="E498" s="48"/>
      <c r="F498" s="48"/>
      <c r="G498" s="48"/>
      <c r="H498" s="48"/>
      <c r="I498" s="48"/>
      <c r="J498" s="48"/>
      <c r="K498" s="48"/>
      <c r="L498" s="48"/>
      <c r="M498" s="48"/>
      <c r="N498" s="48"/>
      <c r="O498" s="48"/>
      <c r="P498" s="48"/>
      <c r="Q498" s="48"/>
      <c r="R498" s="48"/>
      <c r="S498" s="48"/>
      <c r="T498" s="48"/>
      <c r="U498" s="48"/>
      <c r="V498" s="48"/>
    </row>
    <row r="499" spans="2:22" s="46" customFormat="1" ht="15" customHeight="1">
      <c r="B499" s="48"/>
      <c r="C499" s="48"/>
      <c r="D499" s="48"/>
      <c r="E499" s="48"/>
      <c r="F499" s="48"/>
      <c r="G499" s="48"/>
      <c r="H499" s="48"/>
      <c r="I499" s="48"/>
      <c r="J499" s="48"/>
      <c r="K499" s="48"/>
      <c r="L499" s="48"/>
      <c r="M499" s="48"/>
      <c r="N499" s="48"/>
      <c r="O499" s="48"/>
      <c r="P499" s="48"/>
      <c r="Q499" s="48"/>
      <c r="R499" s="48"/>
      <c r="S499" s="48"/>
      <c r="T499" s="48"/>
      <c r="U499" s="48"/>
      <c r="V499" s="48"/>
    </row>
    <row r="500" spans="2:22" s="46" customFormat="1" ht="15" customHeight="1">
      <c r="B500" s="48"/>
      <c r="C500" s="48"/>
      <c r="D500" s="48"/>
      <c r="E500" s="48"/>
      <c r="F500" s="48"/>
      <c r="G500" s="48"/>
      <c r="H500" s="48"/>
      <c r="I500" s="48"/>
      <c r="J500" s="48"/>
      <c r="K500" s="48"/>
      <c r="L500" s="48"/>
      <c r="M500" s="48"/>
      <c r="N500" s="48"/>
      <c r="O500" s="48"/>
      <c r="P500" s="48"/>
      <c r="Q500" s="48"/>
      <c r="R500" s="48"/>
      <c r="S500" s="48"/>
      <c r="T500" s="48"/>
      <c r="U500" s="48"/>
      <c r="V500" s="48"/>
    </row>
    <row r="501" spans="2:22" s="46" customFormat="1" ht="15" customHeight="1">
      <c r="B501" s="48"/>
      <c r="C501" s="48"/>
      <c r="D501" s="48"/>
      <c r="E501" s="48"/>
      <c r="F501" s="48"/>
      <c r="G501" s="48"/>
      <c r="H501" s="48"/>
      <c r="I501" s="48"/>
      <c r="J501" s="48"/>
      <c r="K501" s="48"/>
      <c r="L501" s="48"/>
      <c r="M501" s="48"/>
      <c r="N501" s="48"/>
      <c r="O501" s="48"/>
      <c r="P501" s="48"/>
      <c r="Q501" s="48"/>
      <c r="R501" s="48"/>
      <c r="S501" s="48"/>
      <c r="T501" s="48"/>
      <c r="U501" s="48"/>
      <c r="V501" s="48"/>
    </row>
    <row r="502" spans="2:22" s="46" customFormat="1" ht="15" customHeight="1">
      <c r="B502" s="48"/>
      <c r="C502" s="48"/>
      <c r="D502" s="48"/>
      <c r="E502" s="48"/>
      <c r="F502" s="48"/>
      <c r="G502" s="48"/>
      <c r="H502" s="48"/>
      <c r="I502" s="48"/>
      <c r="J502" s="48"/>
      <c r="K502" s="48"/>
      <c r="L502" s="48"/>
      <c r="M502" s="48"/>
      <c r="N502" s="48"/>
      <c r="O502" s="48"/>
      <c r="P502" s="48"/>
      <c r="Q502" s="48"/>
      <c r="R502" s="48"/>
      <c r="S502" s="48"/>
      <c r="T502" s="48"/>
      <c r="U502" s="48"/>
      <c r="V502" s="48"/>
    </row>
    <row r="503" spans="2:22" s="46" customFormat="1" ht="15" customHeight="1">
      <c r="B503" s="48"/>
      <c r="C503" s="48"/>
      <c r="D503" s="48"/>
      <c r="E503" s="48"/>
      <c r="F503" s="48"/>
      <c r="G503" s="48"/>
      <c r="H503" s="48"/>
      <c r="I503" s="48"/>
      <c r="J503" s="48"/>
      <c r="K503" s="48"/>
      <c r="L503" s="48"/>
      <c r="M503" s="48"/>
      <c r="N503" s="48"/>
      <c r="O503" s="48"/>
      <c r="P503" s="48"/>
      <c r="Q503" s="48"/>
      <c r="R503" s="48"/>
      <c r="S503" s="48"/>
      <c r="T503" s="48"/>
      <c r="U503" s="48"/>
      <c r="V503" s="48"/>
    </row>
    <row r="504" spans="2:22" s="46" customFormat="1" ht="15" customHeight="1">
      <c r="B504" s="48"/>
      <c r="C504" s="48"/>
      <c r="D504" s="48"/>
      <c r="E504" s="48"/>
      <c r="F504" s="48"/>
      <c r="G504" s="48"/>
      <c r="H504" s="48"/>
      <c r="I504" s="48"/>
      <c r="J504" s="48"/>
      <c r="K504" s="48"/>
      <c r="L504" s="48"/>
      <c r="M504" s="48"/>
      <c r="N504" s="48"/>
      <c r="O504" s="48"/>
      <c r="P504" s="48"/>
      <c r="Q504" s="48"/>
      <c r="R504" s="48"/>
      <c r="S504" s="48"/>
      <c r="T504" s="48"/>
      <c r="U504" s="48"/>
      <c r="V504" s="48"/>
    </row>
    <row r="505" spans="2:22" s="46" customFormat="1" ht="15" customHeight="1">
      <c r="B505" s="48"/>
      <c r="C505" s="48"/>
      <c r="D505" s="48"/>
      <c r="E505" s="48"/>
      <c r="F505" s="48"/>
      <c r="G505" s="48"/>
      <c r="H505" s="48"/>
      <c r="I505" s="48"/>
      <c r="J505" s="48"/>
      <c r="K505" s="48"/>
      <c r="L505" s="48"/>
      <c r="M505" s="48"/>
      <c r="N505" s="48"/>
      <c r="O505" s="48"/>
      <c r="P505" s="48"/>
      <c r="Q505" s="48"/>
      <c r="R505" s="48"/>
      <c r="S505" s="48"/>
      <c r="T505" s="48"/>
      <c r="U505" s="48"/>
      <c r="V505" s="48"/>
    </row>
    <row r="506" spans="2:22" s="46" customFormat="1" ht="15" customHeight="1">
      <c r="B506" s="48"/>
      <c r="C506" s="48"/>
      <c r="D506" s="48"/>
      <c r="E506" s="48"/>
      <c r="F506" s="48"/>
      <c r="G506" s="48"/>
      <c r="H506" s="48"/>
      <c r="I506" s="48"/>
      <c r="J506" s="48"/>
      <c r="K506" s="48"/>
      <c r="L506" s="48"/>
      <c r="M506" s="48"/>
      <c r="N506" s="48"/>
      <c r="O506" s="48"/>
      <c r="P506" s="48"/>
      <c r="Q506" s="48"/>
      <c r="R506" s="48"/>
      <c r="S506" s="48"/>
      <c r="T506" s="48"/>
      <c r="U506" s="48"/>
      <c r="V506" s="48"/>
    </row>
    <row r="507" spans="2:22" s="46" customFormat="1" ht="15" customHeight="1">
      <c r="B507" s="48"/>
      <c r="C507" s="48"/>
      <c r="D507" s="48"/>
      <c r="E507" s="48"/>
      <c r="F507" s="48"/>
      <c r="G507" s="48"/>
      <c r="H507" s="48"/>
      <c r="I507" s="48"/>
      <c r="J507" s="48"/>
      <c r="K507" s="48"/>
      <c r="L507" s="48"/>
      <c r="M507" s="48"/>
      <c r="N507" s="48"/>
      <c r="O507" s="48"/>
      <c r="P507" s="48"/>
      <c r="Q507" s="48"/>
      <c r="R507" s="48"/>
      <c r="S507" s="48"/>
      <c r="T507" s="48"/>
      <c r="U507" s="48"/>
      <c r="V507" s="48"/>
    </row>
    <row r="508" spans="2:22" s="46" customFormat="1" ht="15" customHeight="1">
      <c r="B508" s="48"/>
      <c r="C508" s="48"/>
      <c r="D508" s="48"/>
      <c r="E508" s="48"/>
      <c r="F508" s="48"/>
      <c r="G508" s="48"/>
      <c r="H508" s="48"/>
      <c r="I508" s="48"/>
      <c r="J508" s="48"/>
      <c r="K508" s="48"/>
      <c r="L508" s="48"/>
      <c r="M508" s="48"/>
      <c r="N508" s="48"/>
      <c r="O508" s="48"/>
      <c r="P508" s="48"/>
      <c r="Q508" s="48"/>
      <c r="R508" s="48"/>
      <c r="S508" s="48"/>
      <c r="T508" s="48"/>
      <c r="U508" s="48"/>
      <c r="V508" s="48"/>
    </row>
    <row r="509" spans="2:22" s="46" customFormat="1" ht="15" customHeight="1">
      <c r="B509" s="48"/>
      <c r="C509" s="48"/>
      <c r="D509" s="48"/>
      <c r="E509" s="48"/>
      <c r="F509" s="48"/>
      <c r="G509" s="48"/>
      <c r="H509" s="48"/>
      <c r="I509" s="48"/>
      <c r="J509" s="48"/>
      <c r="K509" s="48"/>
      <c r="L509" s="48"/>
      <c r="M509" s="48"/>
      <c r="N509" s="48"/>
      <c r="O509" s="48"/>
      <c r="P509" s="48"/>
      <c r="Q509" s="48"/>
      <c r="R509" s="48"/>
      <c r="S509" s="48"/>
      <c r="T509" s="48"/>
      <c r="U509" s="48"/>
      <c r="V509" s="48"/>
    </row>
    <row r="510" spans="2:22" s="46" customFormat="1" ht="15" customHeight="1">
      <c r="B510" s="48"/>
      <c r="C510" s="48"/>
      <c r="D510" s="48"/>
      <c r="E510" s="48"/>
      <c r="F510" s="48"/>
      <c r="G510" s="48"/>
      <c r="H510" s="48"/>
      <c r="I510" s="48"/>
      <c r="J510" s="48"/>
      <c r="K510" s="48"/>
      <c r="L510" s="48"/>
      <c r="M510" s="48"/>
      <c r="N510" s="48"/>
      <c r="O510" s="48"/>
      <c r="P510" s="48"/>
      <c r="Q510" s="48"/>
      <c r="R510" s="48"/>
      <c r="S510" s="48"/>
      <c r="T510" s="48"/>
      <c r="U510" s="48"/>
      <c r="V510" s="48"/>
    </row>
    <row r="511" spans="2:22" s="46" customFormat="1" ht="15" customHeight="1">
      <c r="B511" s="48"/>
      <c r="C511" s="48"/>
      <c r="D511" s="48"/>
      <c r="E511" s="48"/>
      <c r="F511" s="48"/>
      <c r="G511" s="48"/>
      <c r="H511" s="48"/>
      <c r="I511" s="48"/>
      <c r="J511" s="48"/>
      <c r="K511" s="48"/>
      <c r="L511" s="48"/>
      <c r="M511" s="48"/>
      <c r="N511" s="48"/>
      <c r="O511" s="48"/>
      <c r="P511" s="48"/>
      <c r="Q511" s="48"/>
      <c r="R511" s="48"/>
      <c r="S511" s="48"/>
      <c r="T511" s="48"/>
      <c r="U511" s="48"/>
      <c r="V511" s="48"/>
    </row>
    <row r="512" spans="2:22" s="46" customFormat="1" ht="15" customHeight="1">
      <c r="B512" s="48"/>
      <c r="C512" s="48"/>
      <c r="D512" s="48"/>
      <c r="E512" s="48"/>
      <c r="F512" s="48"/>
      <c r="G512" s="48"/>
      <c r="H512" s="48"/>
      <c r="I512" s="48"/>
      <c r="J512" s="48"/>
      <c r="K512" s="48"/>
      <c r="L512" s="48"/>
      <c r="M512" s="48"/>
      <c r="N512" s="48"/>
      <c r="O512" s="48"/>
      <c r="P512" s="48"/>
      <c r="Q512" s="48"/>
      <c r="R512" s="48"/>
      <c r="S512" s="48"/>
      <c r="T512" s="48"/>
      <c r="U512" s="48"/>
      <c r="V512" s="48"/>
    </row>
    <row r="513" spans="2:22" s="46" customFormat="1" ht="15" customHeight="1">
      <c r="B513" s="48"/>
      <c r="C513" s="48"/>
      <c r="D513" s="48"/>
      <c r="E513" s="48"/>
      <c r="F513" s="48"/>
      <c r="G513" s="48"/>
      <c r="H513" s="48"/>
      <c r="I513" s="48"/>
      <c r="J513" s="48"/>
      <c r="K513" s="48"/>
      <c r="L513" s="48"/>
      <c r="M513" s="48"/>
      <c r="N513" s="48"/>
      <c r="O513" s="48"/>
      <c r="P513" s="48"/>
      <c r="Q513" s="48"/>
      <c r="R513" s="48"/>
      <c r="S513" s="48"/>
      <c r="T513" s="48"/>
      <c r="U513" s="48"/>
      <c r="V513" s="48"/>
    </row>
    <row r="514" spans="2:22" s="46" customFormat="1" ht="15" customHeight="1">
      <c r="B514" s="48"/>
      <c r="C514" s="48"/>
      <c r="D514" s="48"/>
      <c r="E514" s="48"/>
      <c r="F514" s="48"/>
      <c r="G514" s="48"/>
      <c r="H514" s="48"/>
      <c r="I514" s="48"/>
      <c r="J514" s="48"/>
      <c r="K514" s="48"/>
      <c r="L514" s="48"/>
      <c r="M514" s="48"/>
      <c r="N514" s="48"/>
      <c r="O514" s="48"/>
      <c r="P514" s="48"/>
      <c r="Q514" s="48"/>
      <c r="R514" s="48"/>
      <c r="S514" s="48"/>
      <c r="T514" s="48"/>
      <c r="U514" s="48"/>
      <c r="V514" s="48"/>
    </row>
    <row r="515" spans="2:22" s="46" customFormat="1" ht="15" customHeight="1">
      <c r="B515" s="48"/>
      <c r="C515" s="48"/>
      <c r="D515" s="48"/>
      <c r="E515" s="48"/>
      <c r="F515" s="48"/>
      <c r="G515" s="48"/>
      <c r="H515" s="48"/>
      <c r="I515" s="48"/>
      <c r="J515" s="48"/>
      <c r="K515" s="48"/>
      <c r="L515" s="48"/>
      <c r="M515" s="48"/>
      <c r="N515" s="48"/>
      <c r="O515" s="48"/>
      <c r="P515" s="48"/>
      <c r="Q515" s="48"/>
      <c r="R515" s="48"/>
      <c r="S515" s="48"/>
      <c r="T515" s="48"/>
      <c r="U515" s="48"/>
      <c r="V515" s="48"/>
    </row>
    <row r="516" spans="2:22" s="46" customFormat="1" ht="15" customHeight="1">
      <c r="B516" s="48"/>
      <c r="C516" s="48"/>
      <c r="D516" s="48"/>
      <c r="E516" s="48"/>
      <c r="F516" s="48"/>
      <c r="G516" s="48"/>
      <c r="H516" s="48"/>
      <c r="I516" s="48"/>
      <c r="J516" s="48"/>
      <c r="K516" s="48"/>
      <c r="L516" s="48"/>
      <c r="M516" s="48"/>
      <c r="N516" s="48"/>
      <c r="O516" s="48"/>
      <c r="P516" s="48"/>
      <c r="Q516" s="48"/>
      <c r="R516" s="48"/>
      <c r="S516" s="48"/>
      <c r="T516" s="48"/>
      <c r="U516" s="48"/>
      <c r="V516" s="48"/>
    </row>
    <row r="517" spans="2:22" s="46" customFormat="1" ht="15" customHeight="1">
      <c r="B517" s="48"/>
      <c r="C517" s="48"/>
      <c r="D517" s="48"/>
      <c r="E517" s="48"/>
      <c r="F517" s="48"/>
      <c r="G517" s="48"/>
      <c r="H517" s="48"/>
      <c r="I517" s="48"/>
      <c r="J517" s="48"/>
      <c r="K517" s="48"/>
      <c r="L517" s="48"/>
      <c r="M517" s="48"/>
      <c r="N517" s="48"/>
      <c r="O517" s="48"/>
      <c r="P517" s="48"/>
      <c r="Q517" s="48"/>
      <c r="R517" s="48"/>
      <c r="S517" s="48"/>
      <c r="T517" s="48"/>
      <c r="U517" s="48"/>
      <c r="V517" s="48"/>
    </row>
    <row r="518" spans="2:22" s="46" customFormat="1" ht="15" customHeight="1">
      <c r="B518" s="48"/>
      <c r="C518" s="48"/>
      <c r="D518" s="48"/>
      <c r="E518" s="48"/>
      <c r="F518" s="48"/>
      <c r="G518" s="48"/>
      <c r="H518" s="48"/>
      <c r="I518" s="48"/>
      <c r="J518" s="48"/>
      <c r="K518" s="48"/>
      <c r="L518" s="48"/>
      <c r="M518" s="48"/>
      <c r="N518" s="48"/>
      <c r="O518" s="48"/>
      <c r="P518" s="48"/>
      <c r="Q518" s="48"/>
      <c r="R518" s="48"/>
      <c r="S518" s="48"/>
      <c r="T518" s="48"/>
      <c r="U518" s="48"/>
      <c r="V518" s="48"/>
    </row>
    <row r="519" spans="2:22" s="46" customFormat="1" ht="15" customHeight="1">
      <c r="B519" s="48"/>
      <c r="C519" s="48"/>
      <c r="D519" s="48"/>
      <c r="E519" s="48"/>
      <c r="F519" s="48"/>
      <c r="G519" s="48"/>
      <c r="H519" s="48"/>
      <c r="I519" s="48"/>
      <c r="J519" s="48"/>
      <c r="K519" s="48"/>
      <c r="L519" s="48"/>
      <c r="M519" s="48"/>
      <c r="N519" s="48"/>
      <c r="O519" s="48"/>
      <c r="P519" s="48"/>
      <c r="Q519" s="48"/>
      <c r="R519" s="48"/>
      <c r="S519" s="48"/>
      <c r="T519" s="48"/>
      <c r="U519" s="48"/>
      <c r="V519" s="48"/>
    </row>
  </sheetData>
  <mergeCells count="62">
    <mergeCell ref="U28:V28"/>
    <mergeCell ref="U27:V27"/>
    <mergeCell ref="U25:V25"/>
    <mergeCell ref="U26:V26"/>
    <mergeCell ref="B21:V21"/>
    <mergeCell ref="L23:T23"/>
    <mergeCell ref="U23:V23"/>
    <mergeCell ref="U24:V24"/>
    <mergeCell ref="B28:K28"/>
    <mergeCell ref="O28:T28"/>
    <mergeCell ref="B24:T24"/>
    <mergeCell ref="B25:T25"/>
    <mergeCell ref="B26:T26"/>
    <mergeCell ref="B27:T27"/>
    <mergeCell ref="B1:V1"/>
    <mergeCell ref="B13:K13"/>
    <mergeCell ref="L13:T13"/>
    <mergeCell ref="B14:K14"/>
    <mergeCell ref="L14:N14"/>
    <mergeCell ref="U14:V17"/>
    <mergeCell ref="L12:N12"/>
    <mergeCell ref="U10:V10"/>
    <mergeCell ref="U9:V9"/>
    <mergeCell ref="B7:K7"/>
    <mergeCell ref="L7:T7"/>
    <mergeCell ref="B8:K8"/>
    <mergeCell ref="L8:T8"/>
    <mergeCell ref="U8:V8"/>
    <mergeCell ref="U7:V7"/>
    <mergeCell ref="O14:T14"/>
    <mergeCell ref="B18:K18"/>
    <mergeCell ref="O18:T18"/>
    <mergeCell ref="B15:K15"/>
    <mergeCell ref="L15:N15"/>
    <mergeCell ref="O15:T15"/>
    <mergeCell ref="B16:K16"/>
    <mergeCell ref="L16:N16"/>
    <mergeCell ref="O16:T16"/>
    <mergeCell ref="B17:K17"/>
    <mergeCell ref="L17:N17"/>
    <mergeCell ref="O17:T17"/>
    <mergeCell ref="U11:V12"/>
    <mergeCell ref="B5:K5"/>
    <mergeCell ref="L5:T5"/>
    <mergeCell ref="B6:K6"/>
    <mergeCell ref="L6:T6"/>
    <mergeCell ref="U6:V6"/>
    <mergeCell ref="U5:V5"/>
    <mergeCell ref="B11:K11"/>
    <mergeCell ref="L11:N11"/>
    <mergeCell ref="O11:T11"/>
    <mergeCell ref="B12:K12"/>
    <mergeCell ref="O12:T12"/>
    <mergeCell ref="B9:K9"/>
    <mergeCell ref="L9:T9"/>
    <mergeCell ref="B10:K10"/>
    <mergeCell ref="L10:T10"/>
    <mergeCell ref="L3:T3"/>
    <mergeCell ref="B4:K4"/>
    <mergeCell ref="L4:T4"/>
    <mergeCell ref="U4:V4"/>
    <mergeCell ref="U3:V3"/>
  </mergeCells>
  <printOptions horizontalCentered="1"/>
  <pageMargins left="0.511811023622047" right="0.511811023622047" top="0.55118110236220497" bottom="0.55118110236220497" header="0.31496062992126" footer="0.31496062992126"/>
  <pageSetup paperSize="9" scale="96"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Z562"/>
  <sheetViews>
    <sheetView showGridLines="0" workbookViewId="0">
      <selection activeCell="L36" sqref="L36"/>
    </sheetView>
  </sheetViews>
  <sheetFormatPr baseColWidth="10" defaultColWidth="11.44140625" defaultRowHeight="14.4"/>
  <cols>
    <col min="1" max="1" width="5.33203125" style="46" customWidth="1"/>
    <col min="2" max="2" width="4.6640625" style="147" customWidth="1"/>
    <col min="3" max="10" width="3.33203125" style="48" customWidth="1"/>
    <col min="11" max="11" width="26" style="48" customWidth="1"/>
    <col min="12" max="29" width="3.33203125" style="48" customWidth="1"/>
    <col min="30" max="16384" width="11.44140625" style="48"/>
  </cols>
  <sheetData>
    <row r="1" spans="2:26" ht="15" customHeight="1">
      <c r="B1" s="550" t="s">
        <v>57</v>
      </c>
      <c r="C1" s="550"/>
      <c r="D1" s="550"/>
      <c r="E1" s="550"/>
      <c r="F1" s="550"/>
      <c r="G1" s="550"/>
      <c r="H1" s="550"/>
      <c r="I1" s="550"/>
      <c r="J1" s="550"/>
      <c r="K1" s="550"/>
      <c r="L1" s="550"/>
      <c r="M1" s="550"/>
      <c r="N1" s="550"/>
      <c r="O1" s="550"/>
      <c r="P1" s="550"/>
      <c r="Q1" s="550"/>
      <c r="R1" s="550"/>
      <c r="S1" s="550"/>
      <c r="T1" s="550"/>
      <c r="U1" s="550"/>
      <c r="V1" s="550"/>
      <c r="W1" s="550"/>
      <c r="X1" s="550"/>
      <c r="Y1" s="550"/>
      <c r="Z1" s="550"/>
    </row>
    <row r="2" spans="2:26" ht="3.75" customHeight="1">
      <c r="B2" s="227"/>
      <c r="C2" s="50"/>
      <c r="D2" s="50"/>
      <c r="E2" s="50"/>
      <c r="F2" s="50"/>
      <c r="G2" s="50"/>
      <c r="H2" s="50"/>
      <c r="I2" s="50"/>
      <c r="J2" s="50"/>
      <c r="K2" s="50"/>
      <c r="L2" s="50"/>
      <c r="M2" s="50"/>
      <c r="N2" s="50"/>
      <c r="O2" s="50"/>
      <c r="P2" s="50"/>
      <c r="Q2" s="50"/>
      <c r="R2" s="50"/>
      <c r="S2" s="50"/>
      <c r="T2" s="50"/>
      <c r="U2" s="50"/>
      <c r="V2" s="50"/>
      <c r="W2" s="50"/>
      <c r="X2" s="50"/>
      <c r="Y2" s="50"/>
      <c r="Z2" s="50"/>
    </row>
    <row r="3" spans="2:26" ht="30" customHeight="1">
      <c r="B3" s="701" t="s">
        <v>58</v>
      </c>
      <c r="C3" s="701"/>
      <c r="D3" s="701"/>
      <c r="E3" s="701"/>
      <c r="F3" s="701"/>
      <c r="G3" s="701"/>
      <c r="H3" s="701"/>
      <c r="I3" s="701"/>
      <c r="J3" s="701"/>
      <c r="K3" s="701"/>
      <c r="L3" s="702" t="s">
        <v>59</v>
      </c>
      <c r="M3" s="703"/>
      <c r="N3" s="703"/>
      <c r="O3" s="704"/>
      <c r="P3" s="702" t="s">
        <v>60</v>
      </c>
      <c r="Q3" s="703"/>
      <c r="R3" s="703"/>
      <c r="S3" s="703"/>
      <c r="T3" s="704"/>
      <c r="U3" s="702" t="s">
        <v>61</v>
      </c>
      <c r="V3" s="703"/>
      <c r="W3" s="703"/>
      <c r="X3" s="703"/>
      <c r="Y3" s="703"/>
      <c r="Z3" s="704"/>
    </row>
    <row r="4" spans="2:26" ht="15" customHeight="1">
      <c r="B4" s="705" t="s">
        <v>62</v>
      </c>
      <c r="C4" s="705"/>
      <c r="D4" s="705"/>
      <c r="E4" s="705"/>
      <c r="F4" s="705"/>
      <c r="G4" s="705"/>
      <c r="H4" s="705"/>
      <c r="I4" s="705"/>
      <c r="J4" s="705"/>
      <c r="K4" s="706"/>
      <c r="L4" s="707"/>
      <c r="M4" s="708"/>
      <c r="N4" s="708"/>
      <c r="O4" s="709"/>
      <c r="P4" s="710" t="s">
        <v>63</v>
      </c>
      <c r="Q4" s="711"/>
      <c r="R4" s="711"/>
      <c r="S4" s="711"/>
      <c r="T4" s="712"/>
      <c r="U4" s="713">
        <f>SUM(U5:Z7)</f>
        <v>0</v>
      </c>
      <c r="V4" s="714"/>
      <c r="W4" s="714"/>
      <c r="X4" s="714"/>
      <c r="Y4" s="714"/>
      <c r="Z4" s="715"/>
    </row>
    <row r="5" spans="2:26" ht="15" customHeight="1">
      <c r="B5" s="229"/>
      <c r="C5" s="689" t="s">
        <v>64</v>
      </c>
      <c r="D5" s="690"/>
      <c r="E5" s="690"/>
      <c r="F5" s="690"/>
      <c r="G5" s="690"/>
      <c r="H5" s="690"/>
      <c r="I5" s="690"/>
      <c r="J5" s="690"/>
      <c r="K5" s="691"/>
      <c r="L5" s="692">
        <v>0</v>
      </c>
      <c r="M5" s="693"/>
      <c r="N5" s="693"/>
      <c r="O5" s="694"/>
      <c r="P5" s="695">
        <v>6.3</v>
      </c>
      <c r="Q5" s="696"/>
      <c r="R5" s="696"/>
      <c r="S5" s="696"/>
      <c r="T5" s="697"/>
      <c r="U5" s="698">
        <f>P5*L5</f>
        <v>0</v>
      </c>
      <c r="V5" s="699"/>
      <c r="W5" s="699"/>
      <c r="X5" s="699"/>
      <c r="Y5" s="699"/>
      <c r="Z5" s="700"/>
    </row>
    <row r="6" spans="2:26" ht="15" customHeight="1">
      <c r="B6" s="229"/>
      <c r="C6" s="689" t="s">
        <v>65</v>
      </c>
      <c r="D6" s="690"/>
      <c r="E6" s="690"/>
      <c r="F6" s="690"/>
      <c r="G6" s="690"/>
      <c r="H6" s="690"/>
      <c r="I6" s="690"/>
      <c r="J6" s="690"/>
      <c r="K6" s="691"/>
      <c r="L6" s="692">
        <v>0</v>
      </c>
      <c r="M6" s="693"/>
      <c r="N6" s="693"/>
      <c r="O6" s="694"/>
      <c r="P6" s="695">
        <v>6.3</v>
      </c>
      <c r="Q6" s="696"/>
      <c r="R6" s="696"/>
      <c r="S6" s="696"/>
      <c r="T6" s="697"/>
      <c r="U6" s="698">
        <f>P6*L6</f>
        <v>0</v>
      </c>
      <c r="V6" s="699"/>
      <c r="W6" s="699"/>
      <c r="X6" s="699"/>
      <c r="Y6" s="699"/>
      <c r="Z6" s="700"/>
    </row>
    <row r="7" spans="2:26" ht="15" hidden="1" customHeight="1">
      <c r="B7" s="229"/>
      <c r="C7" s="719"/>
      <c r="D7" s="720"/>
      <c r="E7" s="720"/>
      <c r="F7" s="720"/>
      <c r="G7" s="720"/>
      <c r="H7" s="720"/>
      <c r="I7" s="720"/>
      <c r="J7" s="720"/>
      <c r="K7" s="721"/>
      <c r="L7" s="722"/>
      <c r="M7" s="723"/>
      <c r="N7" s="723"/>
      <c r="O7" s="724"/>
      <c r="P7" s="698"/>
      <c r="Q7" s="699"/>
      <c r="R7" s="699"/>
      <c r="S7" s="699"/>
      <c r="T7" s="700"/>
      <c r="U7" s="698"/>
      <c r="V7" s="699"/>
      <c r="W7" s="699"/>
      <c r="X7" s="699"/>
      <c r="Y7" s="699"/>
      <c r="Z7" s="700"/>
    </row>
    <row r="8" spans="2:26" ht="15" customHeight="1">
      <c r="B8" s="705" t="s">
        <v>66</v>
      </c>
      <c r="C8" s="705"/>
      <c r="D8" s="705"/>
      <c r="E8" s="705"/>
      <c r="F8" s="705"/>
      <c r="G8" s="705"/>
      <c r="H8" s="705"/>
      <c r="I8" s="705"/>
      <c r="J8" s="705"/>
      <c r="K8" s="706"/>
      <c r="L8" s="716"/>
      <c r="M8" s="717"/>
      <c r="N8" s="717"/>
      <c r="O8" s="718"/>
      <c r="P8" s="710"/>
      <c r="Q8" s="711"/>
      <c r="R8" s="711"/>
      <c r="S8" s="711"/>
      <c r="T8" s="712"/>
      <c r="U8" s="713">
        <f>SUM(U9:Z11)</f>
        <v>0</v>
      </c>
      <c r="V8" s="714"/>
      <c r="W8" s="714"/>
      <c r="X8" s="714"/>
      <c r="Y8" s="714"/>
      <c r="Z8" s="715"/>
    </row>
    <row r="9" spans="2:26" ht="15" customHeight="1">
      <c r="B9" s="229"/>
      <c r="C9" s="689" t="s">
        <v>67</v>
      </c>
      <c r="D9" s="690"/>
      <c r="E9" s="690"/>
      <c r="F9" s="690"/>
      <c r="G9" s="690"/>
      <c r="H9" s="690"/>
      <c r="I9" s="690"/>
      <c r="J9" s="690"/>
      <c r="K9" s="691"/>
      <c r="L9" s="692">
        <v>0</v>
      </c>
      <c r="M9" s="693"/>
      <c r="N9" s="693"/>
      <c r="O9" s="694"/>
      <c r="P9" s="695">
        <v>85</v>
      </c>
      <c r="Q9" s="696"/>
      <c r="R9" s="696"/>
      <c r="S9" s="696"/>
      <c r="T9" s="697"/>
      <c r="U9" s="698">
        <f>P9*L9</f>
        <v>0</v>
      </c>
      <c r="V9" s="699"/>
      <c r="W9" s="699"/>
      <c r="X9" s="699"/>
      <c r="Y9" s="699"/>
      <c r="Z9" s="700"/>
    </row>
    <row r="10" spans="2:26" ht="15" customHeight="1">
      <c r="B10" s="229"/>
      <c r="C10" s="689" t="s">
        <v>68</v>
      </c>
      <c r="D10" s="690"/>
      <c r="E10" s="690"/>
      <c r="F10" s="690"/>
      <c r="G10" s="690"/>
      <c r="H10" s="690"/>
      <c r="I10" s="690"/>
      <c r="J10" s="690"/>
      <c r="K10" s="691"/>
      <c r="L10" s="692">
        <v>0</v>
      </c>
      <c r="M10" s="693"/>
      <c r="N10" s="693"/>
      <c r="O10" s="694"/>
      <c r="P10" s="695">
        <v>35</v>
      </c>
      <c r="Q10" s="696"/>
      <c r="R10" s="696"/>
      <c r="S10" s="696"/>
      <c r="T10" s="697"/>
      <c r="U10" s="698">
        <f>P10*L10</f>
        <v>0</v>
      </c>
      <c r="V10" s="699"/>
      <c r="W10" s="699"/>
      <c r="X10" s="699"/>
      <c r="Y10" s="699"/>
      <c r="Z10" s="700"/>
    </row>
    <row r="11" spans="2:26" ht="15" customHeight="1">
      <c r="B11" s="229"/>
      <c r="C11" s="689" t="s">
        <v>69</v>
      </c>
      <c r="D11" s="690"/>
      <c r="E11" s="690"/>
      <c r="F11" s="690"/>
      <c r="G11" s="690"/>
      <c r="H11" s="690"/>
      <c r="I11" s="690"/>
      <c r="J11" s="690"/>
      <c r="K11" s="691"/>
      <c r="L11" s="692">
        <v>0</v>
      </c>
      <c r="M11" s="693"/>
      <c r="N11" s="693"/>
      <c r="O11" s="694"/>
      <c r="P11" s="695">
        <v>12</v>
      </c>
      <c r="Q11" s="696"/>
      <c r="R11" s="696"/>
      <c r="S11" s="696"/>
      <c r="T11" s="697"/>
      <c r="U11" s="698">
        <f>P11*L11</f>
        <v>0</v>
      </c>
      <c r="V11" s="699"/>
      <c r="W11" s="699"/>
      <c r="X11" s="699"/>
      <c r="Y11" s="699"/>
      <c r="Z11" s="700"/>
    </row>
    <row r="12" spans="2:26" ht="15" customHeight="1">
      <c r="B12" s="705" t="s">
        <v>70</v>
      </c>
      <c r="C12" s="705"/>
      <c r="D12" s="705"/>
      <c r="E12" s="705"/>
      <c r="F12" s="705"/>
      <c r="G12" s="705"/>
      <c r="H12" s="705"/>
      <c r="I12" s="705"/>
      <c r="J12" s="705"/>
      <c r="K12" s="706"/>
      <c r="L12" s="716"/>
      <c r="M12" s="717"/>
      <c r="N12" s="717"/>
      <c r="O12" s="718"/>
      <c r="P12" s="710"/>
      <c r="Q12" s="711"/>
      <c r="R12" s="711"/>
      <c r="S12" s="711"/>
      <c r="T12" s="712"/>
      <c r="U12" s="713">
        <f>SUM(U13:Z16)</f>
        <v>0</v>
      </c>
      <c r="V12" s="714"/>
      <c r="W12" s="714"/>
      <c r="X12" s="714"/>
      <c r="Y12" s="714"/>
      <c r="Z12" s="715"/>
    </row>
    <row r="13" spans="2:26" ht="15" customHeight="1">
      <c r="B13" s="229"/>
      <c r="C13" s="689" t="s">
        <v>71</v>
      </c>
      <c r="D13" s="690"/>
      <c r="E13" s="690"/>
      <c r="F13" s="690"/>
      <c r="G13" s="690"/>
      <c r="H13" s="690"/>
      <c r="I13" s="690"/>
      <c r="J13" s="690"/>
      <c r="K13" s="691"/>
      <c r="L13" s="692">
        <v>0</v>
      </c>
      <c r="M13" s="693"/>
      <c r="N13" s="693"/>
      <c r="O13" s="694"/>
      <c r="P13" s="695">
        <v>0.01</v>
      </c>
      <c r="Q13" s="696"/>
      <c r="R13" s="696"/>
      <c r="S13" s="696"/>
      <c r="T13" s="697"/>
      <c r="U13" s="698">
        <f>P13*L13</f>
        <v>0</v>
      </c>
      <c r="V13" s="699"/>
      <c r="W13" s="699"/>
      <c r="X13" s="699"/>
      <c r="Y13" s="699"/>
      <c r="Z13" s="700"/>
    </row>
    <row r="14" spans="2:26" ht="15" customHeight="1">
      <c r="B14" s="229"/>
      <c r="C14" s="689" t="s">
        <v>72</v>
      </c>
      <c r="D14" s="690"/>
      <c r="E14" s="690"/>
      <c r="F14" s="690"/>
      <c r="G14" s="690"/>
      <c r="H14" s="690"/>
      <c r="I14" s="690"/>
      <c r="J14" s="690"/>
      <c r="K14" s="691"/>
      <c r="L14" s="692">
        <v>0</v>
      </c>
      <c r="M14" s="693"/>
      <c r="N14" s="693"/>
      <c r="O14" s="694"/>
      <c r="P14" s="695">
        <v>0.02</v>
      </c>
      <c r="Q14" s="696"/>
      <c r="R14" s="696"/>
      <c r="S14" s="696"/>
      <c r="T14" s="697"/>
      <c r="U14" s="698">
        <f>P14*L14</f>
        <v>0</v>
      </c>
      <c r="V14" s="699"/>
      <c r="W14" s="699"/>
      <c r="X14" s="699"/>
      <c r="Y14" s="699"/>
      <c r="Z14" s="700"/>
    </row>
    <row r="15" spans="2:26" ht="15" customHeight="1">
      <c r="B15" s="229"/>
      <c r="C15" s="689" t="s">
        <v>73</v>
      </c>
      <c r="D15" s="690"/>
      <c r="E15" s="690"/>
      <c r="F15" s="690"/>
      <c r="G15" s="690"/>
      <c r="H15" s="690"/>
      <c r="I15" s="690"/>
      <c r="J15" s="690"/>
      <c r="K15" s="691"/>
      <c r="L15" s="692">
        <v>0</v>
      </c>
      <c r="M15" s="693"/>
      <c r="N15" s="693"/>
      <c r="O15" s="694"/>
      <c r="P15" s="695">
        <v>0.2</v>
      </c>
      <c r="Q15" s="696"/>
      <c r="R15" s="696"/>
      <c r="S15" s="696"/>
      <c r="T15" s="697"/>
      <c r="U15" s="698">
        <f>P15*L15</f>
        <v>0</v>
      </c>
      <c r="V15" s="699"/>
      <c r="W15" s="699"/>
      <c r="X15" s="699"/>
      <c r="Y15" s="699"/>
      <c r="Z15" s="700"/>
    </row>
    <row r="16" spans="2:26" ht="15" customHeight="1">
      <c r="B16" s="229"/>
      <c r="C16" s="689" t="s">
        <v>74</v>
      </c>
      <c r="D16" s="690"/>
      <c r="E16" s="690"/>
      <c r="F16" s="690"/>
      <c r="G16" s="690"/>
      <c r="H16" s="690"/>
      <c r="I16" s="690"/>
      <c r="J16" s="690"/>
      <c r="K16" s="691"/>
      <c r="L16" s="692">
        <v>0</v>
      </c>
      <c r="M16" s="693"/>
      <c r="N16" s="693"/>
      <c r="O16" s="694"/>
      <c r="P16" s="695">
        <v>12</v>
      </c>
      <c r="Q16" s="696"/>
      <c r="R16" s="696"/>
      <c r="S16" s="696"/>
      <c r="T16" s="697"/>
      <c r="U16" s="698">
        <f>P16*L16</f>
        <v>0</v>
      </c>
      <c r="V16" s="699"/>
      <c r="W16" s="699"/>
      <c r="X16" s="699"/>
      <c r="Y16" s="699"/>
      <c r="Z16" s="700"/>
    </row>
    <row r="17" spans="2:26" ht="15" customHeight="1">
      <c r="B17" s="228" t="s">
        <v>75</v>
      </c>
      <c r="C17" s="230"/>
      <c r="D17" s="230"/>
      <c r="E17" s="230"/>
      <c r="F17" s="230"/>
      <c r="G17" s="230"/>
      <c r="H17" s="230"/>
      <c r="I17" s="230"/>
      <c r="J17" s="230"/>
      <c r="K17" s="231"/>
      <c r="L17" s="232"/>
      <c r="M17" s="233"/>
      <c r="N17" s="233"/>
      <c r="O17" s="234"/>
      <c r="P17" s="710"/>
      <c r="Q17" s="711"/>
      <c r="R17" s="711"/>
      <c r="S17" s="711"/>
      <c r="T17" s="712"/>
      <c r="U17" s="713">
        <f>SUM(U18:Z21)</f>
        <v>0</v>
      </c>
      <c r="V17" s="714"/>
      <c r="W17" s="714"/>
      <c r="X17" s="714"/>
      <c r="Y17" s="714"/>
      <c r="Z17" s="715"/>
    </row>
    <row r="18" spans="2:26" ht="15" customHeight="1">
      <c r="B18" s="229"/>
      <c r="C18" s="689" t="s">
        <v>76</v>
      </c>
      <c r="D18" s="690"/>
      <c r="E18" s="690"/>
      <c r="F18" s="690"/>
      <c r="G18" s="690"/>
      <c r="H18" s="690"/>
      <c r="I18" s="690"/>
      <c r="J18" s="690"/>
      <c r="K18" s="691"/>
      <c r="L18" s="692">
        <v>0</v>
      </c>
      <c r="M18" s="693"/>
      <c r="N18" s="693"/>
      <c r="O18" s="694"/>
      <c r="P18" s="695">
        <v>25.32</v>
      </c>
      <c r="Q18" s="696"/>
      <c r="R18" s="696"/>
      <c r="S18" s="696"/>
      <c r="T18" s="697"/>
      <c r="U18" s="698">
        <f>P18*L18</f>
        <v>0</v>
      </c>
      <c r="V18" s="699"/>
      <c r="W18" s="699"/>
      <c r="X18" s="699"/>
      <c r="Y18" s="699"/>
      <c r="Z18" s="700"/>
    </row>
    <row r="19" spans="2:26" ht="15" customHeight="1">
      <c r="B19" s="229"/>
      <c r="C19" s="689" t="s">
        <v>64</v>
      </c>
      <c r="D19" s="690"/>
      <c r="E19" s="690"/>
      <c r="F19" s="690"/>
      <c r="G19" s="690"/>
      <c r="H19" s="690"/>
      <c r="I19" s="690"/>
      <c r="J19" s="690"/>
      <c r="K19" s="691"/>
      <c r="L19" s="692">
        <v>0</v>
      </c>
      <c r="M19" s="693"/>
      <c r="N19" s="693"/>
      <c r="O19" s="694"/>
      <c r="P19" s="695">
        <v>32.85</v>
      </c>
      <c r="Q19" s="696"/>
      <c r="R19" s="696"/>
      <c r="S19" s="696"/>
      <c r="T19" s="697"/>
      <c r="U19" s="698">
        <f>P19*L19</f>
        <v>0</v>
      </c>
      <c r="V19" s="699"/>
      <c r="W19" s="699"/>
      <c r="X19" s="699"/>
      <c r="Y19" s="699"/>
      <c r="Z19" s="700"/>
    </row>
    <row r="20" spans="2:26" ht="15" hidden="1" customHeight="1">
      <c r="B20" s="229"/>
      <c r="C20" s="719"/>
      <c r="D20" s="720"/>
      <c r="E20" s="720"/>
      <c r="F20" s="720"/>
      <c r="G20" s="720"/>
      <c r="H20" s="720"/>
      <c r="I20" s="720"/>
      <c r="J20" s="720"/>
      <c r="K20" s="721"/>
      <c r="L20" s="722"/>
      <c r="M20" s="723"/>
      <c r="N20" s="723"/>
      <c r="O20" s="724"/>
      <c r="P20" s="698"/>
      <c r="Q20" s="699"/>
      <c r="R20" s="699"/>
      <c r="S20" s="699"/>
      <c r="T20" s="700"/>
      <c r="U20" s="698"/>
      <c r="V20" s="699"/>
      <c r="W20" s="699"/>
      <c r="X20" s="699"/>
      <c r="Y20" s="699"/>
      <c r="Z20" s="700"/>
    </row>
    <row r="21" spans="2:26" ht="15" hidden="1" customHeight="1">
      <c r="B21" s="229"/>
      <c r="C21" s="719"/>
      <c r="D21" s="720"/>
      <c r="E21" s="720"/>
      <c r="F21" s="720"/>
      <c r="G21" s="720"/>
      <c r="H21" s="720"/>
      <c r="I21" s="720"/>
      <c r="J21" s="720"/>
      <c r="K21" s="721"/>
      <c r="L21" s="722"/>
      <c r="M21" s="723"/>
      <c r="N21" s="723"/>
      <c r="O21" s="724"/>
      <c r="P21" s="698"/>
      <c r="Q21" s="699"/>
      <c r="R21" s="699"/>
      <c r="S21" s="699"/>
      <c r="T21" s="700"/>
      <c r="U21" s="698"/>
      <c r="V21" s="699"/>
      <c r="W21" s="699"/>
      <c r="X21" s="699"/>
      <c r="Y21" s="699"/>
      <c r="Z21" s="700"/>
    </row>
    <row r="22" spans="2:26" ht="15" customHeight="1">
      <c r="B22" s="228" t="s">
        <v>77</v>
      </c>
      <c r="C22" s="230"/>
      <c r="D22" s="230"/>
      <c r="E22" s="230"/>
      <c r="F22" s="230"/>
      <c r="G22" s="230"/>
      <c r="H22" s="230"/>
      <c r="I22" s="230"/>
      <c r="J22" s="230"/>
      <c r="K22" s="231"/>
      <c r="L22" s="232"/>
      <c r="M22" s="233"/>
      <c r="N22" s="233"/>
      <c r="O22" s="234"/>
      <c r="P22" s="710"/>
      <c r="Q22" s="711"/>
      <c r="R22" s="711"/>
      <c r="S22" s="711"/>
      <c r="T22" s="712"/>
      <c r="U22" s="713">
        <f>SUM(U23:Z24)</f>
        <v>0</v>
      </c>
      <c r="V22" s="714"/>
      <c r="W22" s="714"/>
      <c r="X22" s="714"/>
      <c r="Y22" s="714"/>
      <c r="Z22" s="715"/>
    </row>
    <row r="23" spans="2:26" ht="15" customHeight="1">
      <c r="B23" s="229"/>
      <c r="C23" s="689" t="s">
        <v>78</v>
      </c>
      <c r="D23" s="690"/>
      <c r="E23" s="690"/>
      <c r="F23" s="690"/>
      <c r="G23" s="690"/>
      <c r="H23" s="690"/>
      <c r="I23" s="690"/>
      <c r="J23" s="690"/>
      <c r="K23" s="691"/>
      <c r="L23" s="692">
        <v>0</v>
      </c>
      <c r="M23" s="693"/>
      <c r="N23" s="693"/>
      <c r="O23" s="694"/>
      <c r="P23" s="695">
        <v>125</v>
      </c>
      <c r="Q23" s="696"/>
      <c r="R23" s="696"/>
      <c r="S23" s="696"/>
      <c r="T23" s="697"/>
      <c r="U23" s="698">
        <f>P23*L23</f>
        <v>0</v>
      </c>
      <c r="V23" s="699"/>
      <c r="W23" s="699"/>
      <c r="X23" s="699"/>
      <c r="Y23" s="699"/>
      <c r="Z23" s="700"/>
    </row>
    <row r="24" spans="2:26" ht="15" customHeight="1">
      <c r="B24" s="229"/>
      <c r="C24" s="689" t="s">
        <v>79</v>
      </c>
      <c r="D24" s="690"/>
      <c r="E24" s="690"/>
      <c r="F24" s="690"/>
      <c r="G24" s="690"/>
      <c r="H24" s="690"/>
      <c r="I24" s="690"/>
      <c r="J24" s="690"/>
      <c r="K24" s="691"/>
      <c r="L24" s="692">
        <v>0</v>
      </c>
      <c r="M24" s="693"/>
      <c r="N24" s="693"/>
      <c r="O24" s="694"/>
      <c r="P24" s="695">
        <v>125</v>
      </c>
      <c r="Q24" s="696"/>
      <c r="R24" s="696"/>
      <c r="S24" s="696"/>
      <c r="T24" s="697"/>
      <c r="U24" s="698">
        <f>P24*L24</f>
        <v>0</v>
      </c>
      <c r="V24" s="699"/>
      <c r="W24" s="699"/>
      <c r="X24" s="699"/>
      <c r="Y24" s="699"/>
      <c r="Z24" s="700"/>
    </row>
    <row r="25" spans="2:26" ht="15" customHeight="1">
      <c r="B25" s="229"/>
      <c r="C25" s="689" t="s">
        <v>80</v>
      </c>
      <c r="D25" s="690"/>
      <c r="E25" s="690"/>
      <c r="F25" s="690"/>
      <c r="G25" s="690"/>
      <c r="H25" s="690"/>
      <c r="I25" s="690"/>
      <c r="J25" s="690"/>
      <c r="K25" s="691"/>
      <c r="L25" s="692">
        <v>0</v>
      </c>
      <c r="M25" s="693"/>
      <c r="N25" s="693"/>
      <c r="O25" s="694"/>
      <c r="P25" s="695">
        <v>325</v>
      </c>
      <c r="Q25" s="696"/>
      <c r="R25" s="696"/>
      <c r="S25" s="696"/>
      <c r="T25" s="697"/>
      <c r="U25" s="698">
        <f>P25*L25</f>
        <v>0</v>
      </c>
      <c r="V25" s="699"/>
      <c r="W25" s="699"/>
      <c r="X25" s="699"/>
      <c r="Y25" s="699"/>
      <c r="Z25" s="700"/>
    </row>
    <row r="26" spans="2:26" ht="15" customHeight="1">
      <c r="B26" s="229"/>
      <c r="C26" s="689" t="s">
        <v>81</v>
      </c>
      <c r="D26" s="690"/>
      <c r="E26" s="690"/>
      <c r="F26" s="690"/>
      <c r="G26" s="690"/>
      <c r="H26" s="690"/>
      <c r="I26" s="690"/>
      <c r="J26" s="690"/>
      <c r="K26" s="691"/>
      <c r="L26" s="692">
        <v>0</v>
      </c>
      <c r="M26" s="693"/>
      <c r="N26" s="693"/>
      <c r="O26" s="694"/>
      <c r="P26" s="695">
        <v>325</v>
      </c>
      <c r="Q26" s="696"/>
      <c r="R26" s="696"/>
      <c r="S26" s="696"/>
      <c r="T26" s="697"/>
      <c r="U26" s="698">
        <f>P26*L26</f>
        <v>0</v>
      </c>
      <c r="V26" s="699"/>
      <c r="W26" s="699"/>
      <c r="X26" s="699"/>
      <c r="Y26" s="699"/>
      <c r="Z26" s="700"/>
    </row>
    <row r="27" spans="2:26" ht="15" customHeight="1">
      <c r="B27" s="229"/>
      <c r="C27" s="689" t="s">
        <v>82</v>
      </c>
      <c r="D27" s="690"/>
      <c r="E27" s="690"/>
      <c r="F27" s="690"/>
      <c r="G27" s="690"/>
      <c r="H27" s="690"/>
      <c r="I27" s="690"/>
      <c r="J27" s="690"/>
      <c r="K27" s="691"/>
      <c r="L27" s="692">
        <v>0</v>
      </c>
      <c r="M27" s="693"/>
      <c r="N27" s="693"/>
      <c r="O27" s="694"/>
      <c r="P27" s="695">
        <v>298</v>
      </c>
      <c r="Q27" s="696"/>
      <c r="R27" s="696"/>
      <c r="S27" s="696"/>
      <c r="T27" s="697"/>
      <c r="U27" s="698">
        <f>P27*L27</f>
        <v>0</v>
      </c>
      <c r="V27" s="699"/>
      <c r="W27" s="699"/>
      <c r="X27" s="699"/>
      <c r="Y27" s="699"/>
      <c r="Z27" s="700"/>
    </row>
    <row r="28" spans="2:26" ht="15" customHeight="1">
      <c r="B28" s="705" t="s">
        <v>83</v>
      </c>
      <c r="C28" s="705"/>
      <c r="D28" s="705"/>
      <c r="E28" s="705"/>
      <c r="F28" s="705"/>
      <c r="G28" s="705"/>
      <c r="H28" s="705"/>
      <c r="I28" s="705"/>
      <c r="J28" s="705"/>
      <c r="K28" s="706"/>
      <c r="L28" s="716"/>
      <c r="M28" s="717"/>
      <c r="N28" s="717"/>
      <c r="O28" s="718"/>
      <c r="P28" s="725" t="s">
        <v>84</v>
      </c>
      <c r="Q28" s="726"/>
      <c r="R28" s="726"/>
      <c r="S28" s="726"/>
      <c r="T28" s="727"/>
      <c r="U28" s="713">
        <f>SUM(U29:Z31)</f>
        <v>0</v>
      </c>
      <c r="V28" s="714"/>
      <c r="W28" s="714"/>
      <c r="X28" s="714"/>
      <c r="Y28" s="714"/>
      <c r="Z28" s="715"/>
    </row>
    <row r="29" spans="2:26" ht="15" customHeight="1">
      <c r="B29" s="229"/>
      <c r="C29" s="689" t="s">
        <v>85</v>
      </c>
      <c r="D29" s="690"/>
      <c r="E29" s="690"/>
      <c r="F29" s="690"/>
      <c r="G29" s="690"/>
      <c r="H29" s="690"/>
      <c r="I29" s="690"/>
      <c r="J29" s="690"/>
      <c r="K29" s="691"/>
      <c r="L29" s="692">
        <v>0</v>
      </c>
      <c r="M29" s="693"/>
      <c r="N29" s="693"/>
      <c r="O29" s="694"/>
      <c r="P29" s="695">
        <v>95</v>
      </c>
      <c r="Q29" s="696"/>
      <c r="R29" s="696"/>
      <c r="S29" s="696"/>
      <c r="T29" s="697"/>
      <c r="U29" s="698">
        <f>P29*L29</f>
        <v>0</v>
      </c>
      <c r="V29" s="699"/>
      <c r="W29" s="699"/>
      <c r="X29" s="699"/>
      <c r="Y29" s="699"/>
      <c r="Z29" s="700"/>
    </row>
    <row r="30" spans="2:26" ht="15" customHeight="1">
      <c r="B30" s="229"/>
      <c r="C30" s="689" t="s">
        <v>86</v>
      </c>
      <c r="D30" s="690"/>
      <c r="E30" s="690"/>
      <c r="F30" s="690"/>
      <c r="G30" s="690"/>
      <c r="H30" s="690"/>
      <c r="I30" s="690"/>
      <c r="J30" s="690"/>
      <c r="K30" s="691"/>
      <c r="L30" s="692">
        <v>0</v>
      </c>
      <c r="M30" s="693"/>
      <c r="N30" s="693"/>
      <c r="O30" s="694"/>
      <c r="P30" s="695">
        <v>35</v>
      </c>
      <c r="Q30" s="696"/>
      <c r="R30" s="696"/>
      <c r="S30" s="696"/>
      <c r="T30" s="697"/>
      <c r="U30" s="698">
        <f>P30*L30</f>
        <v>0</v>
      </c>
      <c r="V30" s="699"/>
      <c r="W30" s="699"/>
      <c r="X30" s="699"/>
      <c r="Y30" s="699"/>
      <c r="Z30" s="700"/>
    </row>
    <row r="31" spans="2:26" ht="15" hidden="1" customHeight="1">
      <c r="B31" s="229"/>
      <c r="C31" s="719"/>
      <c r="D31" s="720"/>
      <c r="E31" s="720"/>
      <c r="F31" s="720"/>
      <c r="G31" s="720"/>
      <c r="H31" s="720"/>
      <c r="I31" s="720"/>
      <c r="J31" s="720"/>
      <c r="K31" s="721"/>
      <c r="L31" s="722"/>
      <c r="M31" s="723"/>
      <c r="N31" s="723"/>
      <c r="O31" s="724"/>
      <c r="P31" s="698"/>
      <c r="Q31" s="699"/>
      <c r="R31" s="699"/>
      <c r="S31" s="699"/>
      <c r="T31" s="700"/>
      <c r="U31" s="698"/>
      <c r="V31" s="699"/>
      <c r="W31" s="699"/>
      <c r="X31" s="699"/>
      <c r="Y31" s="699"/>
      <c r="Z31" s="700"/>
    </row>
    <row r="32" spans="2:26" ht="15" customHeight="1">
      <c r="B32" s="705" t="s">
        <v>87</v>
      </c>
      <c r="C32" s="705"/>
      <c r="D32" s="705"/>
      <c r="E32" s="705"/>
      <c r="F32" s="705"/>
      <c r="G32" s="705"/>
      <c r="H32" s="705"/>
      <c r="I32" s="705"/>
      <c r="J32" s="705"/>
      <c r="K32" s="706"/>
      <c r="L32" s="716"/>
      <c r="M32" s="717"/>
      <c r="N32" s="717"/>
      <c r="O32" s="718"/>
      <c r="P32" s="710"/>
      <c r="Q32" s="711"/>
      <c r="R32" s="711"/>
      <c r="S32" s="711"/>
      <c r="T32" s="712"/>
      <c r="U32" s="713">
        <f>SUM(U33:Z35)</f>
        <v>0</v>
      </c>
      <c r="V32" s="714"/>
      <c r="W32" s="714"/>
      <c r="X32" s="714"/>
      <c r="Y32" s="714"/>
      <c r="Z32" s="715"/>
    </row>
    <row r="33" spans="2:26" ht="15" customHeight="1">
      <c r="B33" s="229"/>
      <c r="C33" s="689" t="s">
        <v>88</v>
      </c>
      <c r="D33" s="690"/>
      <c r="E33" s="690"/>
      <c r="F33" s="690"/>
      <c r="G33" s="690"/>
      <c r="H33" s="690"/>
      <c r="I33" s="690"/>
      <c r="J33" s="690"/>
      <c r="K33" s="691"/>
      <c r="L33" s="692">
        <v>0</v>
      </c>
      <c r="M33" s="693"/>
      <c r="N33" s="693"/>
      <c r="O33" s="694"/>
      <c r="P33" s="695">
        <v>225</v>
      </c>
      <c r="Q33" s="696"/>
      <c r="R33" s="696"/>
      <c r="S33" s="696"/>
      <c r="T33" s="697"/>
      <c r="U33" s="698">
        <f>P33*L33</f>
        <v>0</v>
      </c>
      <c r="V33" s="699"/>
      <c r="W33" s="699"/>
      <c r="X33" s="699"/>
      <c r="Y33" s="699"/>
      <c r="Z33" s="700"/>
    </row>
    <row r="34" spans="2:26" ht="15" customHeight="1">
      <c r="B34" s="229"/>
      <c r="C34" s="689" t="s">
        <v>89</v>
      </c>
      <c r="D34" s="690"/>
      <c r="E34" s="690"/>
      <c r="F34" s="690"/>
      <c r="G34" s="690"/>
      <c r="H34" s="690"/>
      <c r="I34" s="690"/>
      <c r="J34" s="690"/>
      <c r="K34" s="691"/>
      <c r="L34" s="692">
        <v>0</v>
      </c>
      <c r="M34" s="693"/>
      <c r="N34" s="693"/>
      <c r="O34" s="694"/>
      <c r="P34" s="695">
        <v>73.209999999999994</v>
      </c>
      <c r="Q34" s="696"/>
      <c r="R34" s="696"/>
      <c r="S34" s="696"/>
      <c r="T34" s="697"/>
      <c r="U34" s="698">
        <f>P34*L34</f>
        <v>0</v>
      </c>
      <c r="V34" s="699"/>
      <c r="W34" s="699"/>
      <c r="X34" s="699"/>
      <c r="Y34" s="699"/>
      <c r="Z34" s="700"/>
    </row>
    <row r="35" spans="2:26" ht="15" hidden="1" customHeight="1">
      <c r="B35" s="229"/>
      <c r="C35" s="719"/>
      <c r="D35" s="720"/>
      <c r="E35" s="720"/>
      <c r="F35" s="720"/>
      <c r="G35" s="720"/>
      <c r="H35" s="720"/>
      <c r="I35" s="720"/>
      <c r="J35" s="720"/>
      <c r="K35" s="721"/>
      <c r="L35" s="722"/>
      <c r="M35" s="723"/>
      <c r="N35" s="723"/>
      <c r="O35" s="724"/>
      <c r="P35" s="698"/>
      <c r="Q35" s="699"/>
      <c r="R35" s="699"/>
      <c r="S35" s="699"/>
      <c r="T35" s="700"/>
      <c r="U35" s="698"/>
      <c r="V35" s="699"/>
      <c r="W35" s="699"/>
      <c r="X35" s="699"/>
      <c r="Y35" s="699"/>
      <c r="Z35" s="700"/>
    </row>
    <row r="36" spans="2:26" ht="15" customHeight="1">
      <c r="B36" s="731" t="s">
        <v>90</v>
      </c>
      <c r="C36" s="731"/>
      <c r="D36" s="731"/>
      <c r="E36" s="731"/>
      <c r="F36" s="731"/>
      <c r="G36" s="731"/>
      <c r="H36" s="731"/>
      <c r="I36" s="731"/>
      <c r="J36" s="731"/>
      <c r="K36" s="731"/>
      <c r="L36" s="53"/>
      <c r="M36" s="54"/>
      <c r="N36" s="54"/>
      <c r="O36" s="54"/>
      <c r="P36" s="732">
        <f>U32+U28+U22+U17+U8+U4</f>
        <v>0</v>
      </c>
      <c r="Q36" s="732"/>
      <c r="R36" s="732"/>
      <c r="S36" s="732"/>
      <c r="T36" s="732"/>
      <c r="U36" s="732"/>
      <c r="V36" s="732"/>
      <c r="W36" s="732"/>
      <c r="X36" s="732"/>
      <c r="Y36" s="732"/>
      <c r="Z36" s="733"/>
    </row>
    <row r="37" spans="2:26" ht="15" customHeight="1">
      <c r="B37" s="734" t="s">
        <v>12</v>
      </c>
      <c r="C37" s="734"/>
      <c r="D37" s="734"/>
      <c r="E37" s="734"/>
      <c r="F37" s="734"/>
      <c r="G37" s="734"/>
      <c r="H37" s="734"/>
      <c r="I37" s="734"/>
      <c r="J37" s="734"/>
      <c r="K37" s="734"/>
      <c r="L37" s="735">
        <v>0.13</v>
      </c>
      <c r="M37" s="736"/>
      <c r="N37" s="736"/>
      <c r="O37" s="737"/>
      <c r="P37" s="738">
        <f>P36*L37</f>
        <v>0</v>
      </c>
      <c r="Q37" s="739"/>
      <c r="R37" s="739"/>
      <c r="S37" s="739"/>
      <c r="T37" s="739"/>
      <c r="U37" s="739"/>
      <c r="V37" s="739"/>
      <c r="W37" s="739"/>
      <c r="X37" s="739"/>
      <c r="Y37" s="739"/>
      <c r="Z37" s="740"/>
    </row>
    <row r="38" spans="2:26" ht="15" customHeight="1">
      <c r="B38" s="734" t="s">
        <v>54</v>
      </c>
      <c r="C38" s="734"/>
      <c r="D38" s="734"/>
      <c r="E38" s="734"/>
      <c r="F38" s="734"/>
      <c r="G38" s="734"/>
      <c r="H38" s="734"/>
      <c r="I38" s="734"/>
      <c r="J38" s="734"/>
      <c r="K38" s="734"/>
      <c r="L38" s="735">
        <v>0.06</v>
      </c>
      <c r="M38" s="736"/>
      <c r="N38" s="736"/>
      <c r="O38" s="737"/>
      <c r="P38" s="738">
        <f>P36*L38</f>
        <v>0</v>
      </c>
      <c r="Q38" s="739"/>
      <c r="R38" s="739"/>
      <c r="S38" s="739"/>
      <c r="T38" s="739"/>
      <c r="U38" s="739"/>
      <c r="V38" s="739"/>
      <c r="W38" s="739"/>
      <c r="X38" s="739"/>
      <c r="Y38" s="739"/>
      <c r="Z38" s="740"/>
    </row>
    <row r="39" spans="2:26" ht="15" customHeight="1">
      <c r="B39" s="731" t="s">
        <v>91</v>
      </c>
      <c r="C39" s="731"/>
      <c r="D39" s="731"/>
      <c r="E39" s="731"/>
      <c r="F39" s="731"/>
      <c r="G39" s="731"/>
      <c r="H39" s="731"/>
      <c r="I39" s="731"/>
      <c r="J39" s="731"/>
      <c r="K39" s="731"/>
      <c r="L39" s="235"/>
      <c r="M39" s="236"/>
      <c r="N39" s="236"/>
      <c r="O39" s="236"/>
      <c r="P39" s="741">
        <f>P36+P37+P38</f>
        <v>0</v>
      </c>
      <c r="Q39" s="741"/>
      <c r="R39" s="741"/>
      <c r="S39" s="741"/>
      <c r="T39" s="741"/>
      <c r="U39" s="741"/>
      <c r="V39" s="741"/>
      <c r="W39" s="741"/>
      <c r="X39" s="741"/>
      <c r="Y39" s="741"/>
      <c r="Z39" s="742"/>
    </row>
    <row r="40" spans="2:26" ht="15" customHeight="1">
      <c r="B40" s="734" t="s">
        <v>92</v>
      </c>
      <c r="C40" s="734"/>
      <c r="D40" s="734"/>
      <c r="E40" s="734"/>
      <c r="F40" s="734"/>
      <c r="G40" s="734"/>
      <c r="H40" s="734"/>
      <c r="I40" s="734"/>
      <c r="J40" s="734"/>
      <c r="K40" s="734"/>
      <c r="L40" s="743">
        <v>0.21</v>
      </c>
      <c r="M40" s="720"/>
      <c r="N40" s="720"/>
      <c r="O40" s="721"/>
      <c r="P40" s="738">
        <f>P39*L40</f>
        <v>0</v>
      </c>
      <c r="Q40" s="739"/>
      <c r="R40" s="739"/>
      <c r="S40" s="739"/>
      <c r="T40" s="739"/>
      <c r="U40" s="739"/>
      <c r="V40" s="739"/>
      <c r="W40" s="739"/>
      <c r="X40" s="739"/>
      <c r="Y40" s="739"/>
      <c r="Z40" s="740"/>
    </row>
    <row r="41" spans="2:26" ht="15" customHeight="1">
      <c r="B41" s="728" t="s">
        <v>93</v>
      </c>
      <c r="C41" s="728"/>
      <c r="D41" s="728"/>
      <c r="E41" s="728"/>
      <c r="F41" s="728"/>
      <c r="G41" s="728"/>
      <c r="H41" s="728"/>
      <c r="I41" s="728"/>
      <c r="J41" s="728"/>
      <c r="K41" s="728"/>
      <c r="L41" s="243"/>
      <c r="M41" s="243"/>
      <c r="N41" s="243"/>
      <c r="O41" s="243"/>
      <c r="P41" s="729">
        <f>P39+P40</f>
        <v>0</v>
      </c>
      <c r="Q41" s="729"/>
      <c r="R41" s="729"/>
      <c r="S41" s="729"/>
      <c r="T41" s="729"/>
      <c r="U41" s="729"/>
      <c r="V41" s="729"/>
      <c r="W41" s="729"/>
      <c r="X41" s="729"/>
      <c r="Y41" s="729"/>
      <c r="Z41" s="730"/>
    </row>
    <row r="42" spans="2:26" s="46" customFormat="1" ht="15" customHeight="1">
      <c r="B42" s="147"/>
      <c r="C42" s="48"/>
      <c r="D42" s="48"/>
      <c r="E42" s="48"/>
      <c r="F42" s="48"/>
      <c r="G42" s="48"/>
      <c r="H42" s="48"/>
      <c r="I42" s="48"/>
      <c r="J42" s="48"/>
      <c r="K42" s="48"/>
      <c r="L42" s="48"/>
      <c r="M42" s="48"/>
      <c r="N42" s="48"/>
      <c r="O42" s="48"/>
      <c r="P42" s="48"/>
      <c r="Q42" s="48"/>
      <c r="R42" s="48"/>
      <c r="S42" s="48"/>
      <c r="T42" s="48"/>
      <c r="U42" s="48"/>
      <c r="V42" s="48"/>
      <c r="W42" s="48"/>
      <c r="X42" s="48"/>
      <c r="Y42" s="48"/>
      <c r="Z42" s="48"/>
    </row>
    <row r="43" spans="2:26" s="46" customFormat="1" ht="15" customHeight="1">
      <c r="B43" s="147"/>
      <c r="C43" s="48"/>
      <c r="D43" s="48"/>
      <c r="E43" s="48"/>
      <c r="F43" s="48"/>
      <c r="G43" s="48"/>
      <c r="H43" s="48"/>
      <c r="I43" s="48"/>
      <c r="J43" s="48"/>
      <c r="K43" s="48"/>
      <c r="L43" s="48"/>
      <c r="M43" s="48"/>
      <c r="N43" s="48"/>
      <c r="O43" s="48"/>
      <c r="P43" s="48"/>
      <c r="Q43" s="48"/>
      <c r="R43" s="48"/>
      <c r="S43" s="48"/>
      <c r="T43" s="48"/>
      <c r="U43" s="48"/>
      <c r="V43" s="48"/>
      <c r="W43" s="48"/>
      <c r="X43" s="48"/>
      <c r="Y43" s="48"/>
      <c r="Z43" s="48"/>
    </row>
    <row r="44" spans="2:26" s="46" customFormat="1" ht="15" customHeight="1">
      <c r="B44" s="147"/>
      <c r="C44" s="48"/>
      <c r="D44" s="48"/>
      <c r="E44" s="48"/>
      <c r="F44" s="48"/>
      <c r="G44" s="48"/>
      <c r="H44" s="48"/>
      <c r="I44" s="48"/>
      <c r="J44" s="48"/>
      <c r="K44" s="48"/>
      <c r="L44" s="48"/>
      <c r="M44" s="48"/>
      <c r="N44" s="48"/>
      <c r="O44" s="48"/>
      <c r="P44" s="48"/>
      <c r="Q44" s="48"/>
      <c r="R44" s="48"/>
      <c r="S44" s="48"/>
      <c r="T44" s="48"/>
      <c r="U44" s="48"/>
      <c r="V44" s="48"/>
      <c r="W44" s="48"/>
      <c r="X44" s="48"/>
      <c r="Y44" s="48"/>
      <c r="Z44" s="48"/>
    </row>
    <row r="45" spans="2:26" s="46" customFormat="1" ht="15" customHeight="1">
      <c r="B45" s="147"/>
      <c r="C45" s="48"/>
      <c r="D45" s="48"/>
      <c r="E45" s="48"/>
      <c r="F45" s="48"/>
      <c r="G45" s="48"/>
      <c r="H45" s="48"/>
      <c r="I45" s="48"/>
      <c r="J45" s="48"/>
      <c r="K45" s="48"/>
      <c r="L45" s="48"/>
      <c r="M45" s="48"/>
      <c r="N45" s="48"/>
      <c r="O45" s="48"/>
      <c r="P45" s="48"/>
      <c r="Q45" s="48"/>
      <c r="R45" s="48"/>
      <c r="S45" s="48"/>
      <c r="T45" s="48"/>
      <c r="U45" s="48"/>
      <c r="V45" s="48"/>
      <c r="W45" s="48"/>
      <c r="X45" s="48"/>
      <c r="Y45" s="48"/>
      <c r="Z45" s="48"/>
    </row>
    <row r="46" spans="2:26" s="46" customFormat="1" ht="15" customHeight="1">
      <c r="B46" s="147"/>
      <c r="C46" s="48"/>
      <c r="D46" s="48"/>
      <c r="E46" s="48"/>
      <c r="F46" s="48"/>
      <c r="G46" s="48"/>
      <c r="H46" s="48"/>
      <c r="I46" s="48"/>
      <c r="J46" s="48"/>
      <c r="K46" s="48"/>
      <c r="L46" s="48"/>
      <c r="M46" s="48"/>
      <c r="N46" s="48"/>
      <c r="O46" s="48"/>
      <c r="P46" s="48"/>
      <c r="Q46" s="48"/>
      <c r="R46" s="48"/>
      <c r="S46" s="48"/>
      <c r="T46" s="48"/>
      <c r="U46" s="48"/>
      <c r="V46" s="48"/>
      <c r="W46" s="48"/>
      <c r="X46" s="48"/>
      <c r="Y46" s="48"/>
      <c r="Z46" s="48"/>
    </row>
    <row r="47" spans="2:26" s="46" customFormat="1" ht="15" customHeight="1">
      <c r="B47" s="147"/>
      <c r="C47" s="48"/>
      <c r="D47" s="48"/>
      <c r="E47" s="48"/>
      <c r="F47" s="48"/>
      <c r="G47" s="48"/>
      <c r="H47" s="48"/>
      <c r="I47" s="48"/>
      <c r="J47" s="48"/>
      <c r="K47" s="48"/>
      <c r="L47" s="48"/>
      <c r="M47" s="48"/>
      <c r="N47" s="48"/>
      <c r="O47" s="48"/>
      <c r="P47" s="48"/>
      <c r="Q47" s="48"/>
      <c r="R47" s="48"/>
      <c r="S47" s="48"/>
      <c r="T47" s="48"/>
      <c r="U47" s="48"/>
      <c r="V47" s="48"/>
      <c r="W47" s="48"/>
      <c r="X47" s="48"/>
      <c r="Y47" s="48"/>
      <c r="Z47" s="48"/>
    </row>
    <row r="48" spans="2:26" s="46" customFormat="1" ht="15" customHeight="1">
      <c r="B48" s="147"/>
      <c r="C48" s="48"/>
      <c r="D48" s="48"/>
      <c r="E48" s="48"/>
      <c r="F48" s="48"/>
      <c r="G48" s="48"/>
      <c r="H48" s="48"/>
      <c r="I48" s="48"/>
      <c r="J48" s="48"/>
      <c r="K48" s="48"/>
      <c r="L48" s="48"/>
      <c r="M48" s="48"/>
      <c r="N48" s="48"/>
      <c r="O48" s="48"/>
      <c r="P48" s="48"/>
      <c r="Q48" s="48"/>
      <c r="R48" s="48"/>
      <c r="S48" s="48"/>
      <c r="T48" s="48"/>
      <c r="U48" s="48"/>
      <c r="V48" s="48"/>
      <c r="W48" s="48"/>
      <c r="X48" s="48"/>
      <c r="Y48" s="48"/>
      <c r="Z48" s="48"/>
    </row>
    <row r="49" spans="2:26" s="46" customFormat="1" ht="15" customHeight="1">
      <c r="B49" s="147"/>
      <c r="C49" s="48"/>
      <c r="D49" s="48"/>
      <c r="E49" s="48"/>
      <c r="F49" s="48"/>
      <c r="G49" s="48"/>
      <c r="H49" s="48"/>
      <c r="I49" s="48"/>
      <c r="J49" s="48"/>
      <c r="K49" s="48"/>
      <c r="L49" s="48"/>
      <c r="M49" s="48"/>
      <c r="N49" s="48"/>
      <c r="O49" s="48"/>
      <c r="P49" s="48"/>
      <c r="Q49" s="48"/>
      <c r="R49" s="48"/>
      <c r="S49" s="48"/>
      <c r="T49" s="48"/>
      <c r="U49" s="48"/>
      <c r="V49" s="48"/>
      <c r="W49" s="48"/>
      <c r="X49" s="48"/>
      <c r="Y49" s="48"/>
      <c r="Z49" s="48"/>
    </row>
    <row r="50" spans="2:26" s="46" customFormat="1" ht="15" customHeight="1">
      <c r="B50" s="147"/>
      <c r="C50" s="48"/>
      <c r="D50" s="48"/>
      <c r="E50" s="48"/>
      <c r="F50" s="48"/>
      <c r="G50" s="48"/>
      <c r="H50" s="48"/>
      <c r="I50" s="48"/>
      <c r="J50" s="48"/>
      <c r="K50" s="48"/>
      <c r="L50" s="48"/>
      <c r="M50" s="48"/>
      <c r="N50" s="48"/>
      <c r="O50" s="48"/>
      <c r="P50" s="48"/>
      <c r="Q50" s="48"/>
      <c r="R50" s="48"/>
      <c r="S50" s="48"/>
      <c r="T50" s="48"/>
      <c r="U50" s="48"/>
      <c r="V50" s="48"/>
      <c r="W50" s="48"/>
      <c r="X50" s="48"/>
      <c r="Y50" s="48"/>
      <c r="Z50" s="48"/>
    </row>
    <row r="51" spans="2:26" s="46" customFormat="1" ht="15" customHeight="1">
      <c r="B51" s="147"/>
      <c r="C51" s="48"/>
      <c r="D51" s="48"/>
      <c r="E51" s="48"/>
      <c r="F51" s="48"/>
      <c r="G51" s="48"/>
      <c r="H51" s="48"/>
      <c r="I51" s="48"/>
      <c r="J51" s="48"/>
      <c r="K51" s="48"/>
      <c r="L51" s="48"/>
      <c r="M51" s="48"/>
      <c r="N51" s="48"/>
      <c r="O51" s="48"/>
      <c r="P51" s="48"/>
      <c r="Q51" s="48"/>
      <c r="R51" s="48"/>
      <c r="S51" s="48"/>
      <c r="T51" s="48"/>
      <c r="U51" s="48"/>
      <c r="V51" s="48"/>
      <c r="W51" s="48"/>
      <c r="X51" s="48"/>
      <c r="Y51" s="48"/>
      <c r="Z51" s="48"/>
    </row>
    <row r="52" spans="2:26" s="46" customFormat="1" ht="15" customHeight="1">
      <c r="B52" s="147"/>
      <c r="C52" s="48"/>
      <c r="D52" s="48"/>
      <c r="E52" s="48"/>
      <c r="F52" s="48"/>
      <c r="G52" s="48"/>
      <c r="H52" s="48"/>
      <c r="I52" s="48"/>
      <c r="J52" s="48"/>
      <c r="K52" s="48"/>
      <c r="L52" s="48"/>
      <c r="M52" s="48"/>
      <c r="N52" s="48"/>
      <c r="O52" s="48"/>
      <c r="P52" s="48"/>
      <c r="Q52" s="48"/>
      <c r="R52" s="48"/>
      <c r="S52" s="48"/>
      <c r="T52" s="48"/>
      <c r="U52" s="48"/>
      <c r="V52" s="48"/>
      <c r="W52" s="48"/>
      <c r="X52" s="48"/>
      <c r="Y52" s="48"/>
      <c r="Z52" s="48"/>
    </row>
    <row r="53" spans="2:26" s="46" customFormat="1" ht="15" customHeight="1">
      <c r="B53" s="147"/>
      <c r="C53" s="48"/>
      <c r="D53" s="48"/>
      <c r="E53" s="48"/>
      <c r="F53" s="48"/>
      <c r="G53" s="48"/>
      <c r="H53" s="48"/>
      <c r="I53" s="48"/>
      <c r="J53" s="48"/>
      <c r="K53" s="48"/>
      <c r="L53" s="48"/>
      <c r="M53" s="48"/>
      <c r="N53" s="48"/>
      <c r="O53" s="48"/>
      <c r="P53" s="48"/>
      <c r="Q53" s="48"/>
      <c r="R53" s="48"/>
      <c r="S53" s="48"/>
      <c r="T53" s="48"/>
      <c r="U53" s="48"/>
      <c r="V53" s="48"/>
      <c r="W53" s="48"/>
      <c r="X53" s="48"/>
      <c r="Y53" s="48"/>
      <c r="Z53" s="48"/>
    </row>
    <row r="54" spans="2:26" s="46" customFormat="1" ht="15" customHeight="1">
      <c r="B54" s="147"/>
      <c r="C54" s="48"/>
      <c r="D54" s="48"/>
      <c r="E54" s="48"/>
      <c r="F54" s="48"/>
      <c r="G54" s="48"/>
      <c r="H54" s="48"/>
      <c r="I54" s="48"/>
      <c r="J54" s="48"/>
      <c r="K54" s="48"/>
      <c r="L54" s="48"/>
      <c r="M54" s="48"/>
      <c r="N54" s="48"/>
      <c r="O54" s="48"/>
      <c r="P54" s="48"/>
      <c r="Q54" s="48"/>
      <c r="R54" s="48"/>
      <c r="S54" s="48"/>
      <c r="T54" s="48"/>
      <c r="U54" s="48"/>
      <c r="V54" s="48"/>
      <c r="W54" s="48"/>
      <c r="X54" s="48"/>
      <c r="Y54" s="48"/>
      <c r="Z54" s="48"/>
    </row>
    <row r="55" spans="2:26" s="46" customFormat="1" ht="15" customHeight="1">
      <c r="B55" s="147"/>
      <c r="C55" s="48"/>
      <c r="D55" s="48"/>
      <c r="E55" s="48"/>
      <c r="F55" s="48"/>
      <c r="G55" s="48"/>
      <c r="H55" s="48"/>
      <c r="I55" s="48"/>
      <c r="J55" s="48"/>
      <c r="K55" s="48"/>
      <c r="L55" s="48"/>
      <c r="M55" s="48"/>
      <c r="N55" s="48"/>
      <c r="O55" s="48"/>
      <c r="P55" s="48"/>
      <c r="Q55" s="48"/>
      <c r="R55" s="48"/>
      <c r="S55" s="48"/>
      <c r="T55" s="48"/>
      <c r="U55" s="48"/>
      <c r="V55" s="48"/>
      <c r="W55" s="48"/>
      <c r="X55" s="48"/>
      <c r="Y55" s="48"/>
      <c r="Z55" s="48"/>
    </row>
    <row r="56" spans="2:26" s="46" customFormat="1" ht="15" customHeight="1">
      <c r="B56" s="147"/>
      <c r="C56" s="48"/>
      <c r="D56" s="48"/>
      <c r="E56" s="48"/>
      <c r="F56" s="48"/>
      <c r="G56" s="48"/>
      <c r="H56" s="48"/>
      <c r="I56" s="48"/>
      <c r="J56" s="48"/>
      <c r="K56" s="48"/>
      <c r="L56" s="48"/>
      <c r="M56" s="48"/>
      <c r="N56" s="48"/>
      <c r="O56" s="48"/>
      <c r="P56" s="48"/>
      <c r="Q56" s="48"/>
      <c r="R56" s="48"/>
      <c r="S56" s="48"/>
      <c r="T56" s="48"/>
      <c r="U56" s="48"/>
      <c r="V56" s="48"/>
      <c r="W56" s="48"/>
      <c r="X56" s="48"/>
      <c r="Y56" s="48"/>
      <c r="Z56" s="48"/>
    </row>
    <row r="57" spans="2:26" s="46" customFormat="1" ht="15" customHeight="1">
      <c r="B57" s="147"/>
      <c r="C57" s="48"/>
      <c r="D57" s="48"/>
      <c r="E57" s="48"/>
      <c r="F57" s="48"/>
      <c r="G57" s="48"/>
      <c r="H57" s="48"/>
      <c r="I57" s="48"/>
      <c r="J57" s="48"/>
      <c r="K57" s="48"/>
      <c r="L57" s="48"/>
      <c r="M57" s="48"/>
      <c r="N57" s="48"/>
      <c r="O57" s="48"/>
      <c r="P57" s="48"/>
      <c r="Q57" s="48"/>
      <c r="R57" s="48"/>
      <c r="S57" s="48"/>
      <c r="T57" s="48"/>
      <c r="U57" s="48"/>
      <c r="V57" s="48"/>
      <c r="W57" s="48"/>
      <c r="X57" s="48"/>
      <c r="Y57" s="48"/>
      <c r="Z57" s="48"/>
    </row>
    <row r="58" spans="2:26" s="46" customFormat="1" ht="15" customHeight="1">
      <c r="B58" s="147"/>
      <c r="C58" s="48"/>
      <c r="D58" s="48"/>
      <c r="E58" s="48"/>
      <c r="F58" s="48"/>
      <c r="G58" s="48"/>
      <c r="H58" s="48"/>
      <c r="I58" s="48"/>
      <c r="J58" s="48"/>
      <c r="K58" s="48"/>
      <c r="L58" s="48"/>
      <c r="M58" s="48"/>
      <c r="N58" s="48"/>
      <c r="O58" s="48"/>
      <c r="P58" s="48"/>
      <c r="Q58" s="48"/>
      <c r="R58" s="48"/>
      <c r="S58" s="48"/>
      <c r="T58" s="48"/>
      <c r="U58" s="48"/>
      <c r="V58" s="48"/>
      <c r="W58" s="48"/>
      <c r="X58" s="48"/>
      <c r="Y58" s="48"/>
      <c r="Z58" s="48"/>
    </row>
    <row r="59" spans="2:26" s="46" customFormat="1" ht="15" customHeight="1">
      <c r="B59" s="147"/>
      <c r="C59" s="48"/>
      <c r="D59" s="48"/>
      <c r="E59" s="48"/>
      <c r="F59" s="48"/>
      <c r="G59" s="48"/>
      <c r="H59" s="48"/>
      <c r="I59" s="48"/>
      <c r="J59" s="48"/>
      <c r="K59" s="48"/>
      <c r="L59" s="48"/>
      <c r="M59" s="48"/>
      <c r="N59" s="48"/>
      <c r="O59" s="48"/>
      <c r="P59" s="48"/>
      <c r="Q59" s="48"/>
      <c r="R59" s="48"/>
      <c r="S59" s="48"/>
      <c r="T59" s="48"/>
      <c r="U59" s="48"/>
      <c r="V59" s="48"/>
      <c r="W59" s="48"/>
      <c r="X59" s="48"/>
      <c r="Y59" s="48"/>
      <c r="Z59" s="48"/>
    </row>
    <row r="60" spans="2:26" s="46" customFormat="1" ht="15" customHeight="1">
      <c r="B60" s="147"/>
      <c r="C60" s="48"/>
      <c r="D60" s="48"/>
      <c r="E60" s="48"/>
      <c r="F60" s="48"/>
      <c r="G60" s="48"/>
      <c r="H60" s="48"/>
      <c r="I60" s="48"/>
      <c r="J60" s="48"/>
      <c r="K60" s="48"/>
      <c r="L60" s="48"/>
      <c r="M60" s="48"/>
      <c r="N60" s="48"/>
      <c r="O60" s="48"/>
      <c r="P60" s="48"/>
      <c r="Q60" s="48"/>
      <c r="R60" s="48"/>
      <c r="S60" s="48"/>
      <c r="T60" s="48"/>
      <c r="U60" s="48"/>
      <c r="V60" s="48"/>
      <c r="W60" s="48"/>
      <c r="X60" s="48"/>
      <c r="Y60" s="48"/>
      <c r="Z60" s="48"/>
    </row>
    <row r="61" spans="2:26" s="46" customFormat="1" ht="15" customHeight="1">
      <c r="B61" s="147"/>
      <c r="C61" s="48"/>
      <c r="D61" s="48"/>
      <c r="E61" s="48"/>
      <c r="F61" s="48"/>
      <c r="G61" s="48"/>
      <c r="H61" s="48"/>
      <c r="I61" s="48"/>
      <c r="J61" s="48"/>
      <c r="K61" s="48"/>
      <c r="L61" s="48"/>
      <c r="M61" s="48"/>
      <c r="N61" s="48"/>
      <c r="O61" s="48"/>
      <c r="P61" s="48"/>
      <c r="Q61" s="48"/>
      <c r="R61" s="48"/>
      <c r="S61" s="48"/>
      <c r="T61" s="48"/>
      <c r="U61" s="48"/>
      <c r="V61" s="48"/>
      <c r="W61" s="48"/>
      <c r="X61" s="48"/>
      <c r="Y61" s="48"/>
      <c r="Z61" s="48"/>
    </row>
    <row r="62" spans="2:26" s="46" customFormat="1" ht="15" customHeight="1">
      <c r="B62" s="147"/>
      <c r="C62" s="48"/>
      <c r="D62" s="48"/>
      <c r="E62" s="48"/>
      <c r="F62" s="48"/>
      <c r="G62" s="48"/>
      <c r="H62" s="48"/>
      <c r="I62" s="48"/>
      <c r="J62" s="48"/>
      <c r="K62" s="48"/>
      <c r="L62" s="48"/>
      <c r="M62" s="48"/>
      <c r="N62" s="48"/>
      <c r="O62" s="48"/>
      <c r="P62" s="48"/>
      <c r="Q62" s="48"/>
      <c r="R62" s="48"/>
      <c r="S62" s="48"/>
      <c r="T62" s="48"/>
      <c r="U62" s="48"/>
      <c r="V62" s="48"/>
      <c r="W62" s="48"/>
      <c r="X62" s="48"/>
      <c r="Y62" s="48"/>
      <c r="Z62" s="48"/>
    </row>
    <row r="63" spans="2:26" s="46" customFormat="1" ht="15" customHeight="1">
      <c r="B63" s="147"/>
      <c r="C63" s="48"/>
      <c r="D63" s="48"/>
      <c r="E63" s="48"/>
      <c r="F63" s="48"/>
      <c r="G63" s="48"/>
      <c r="H63" s="48"/>
      <c r="I63" s="48"/>
      <c r="J63" s="48"/>
      <c r="K63" s="48"/>
      <c r="L63" s="48"/>
      <c r="M63" s="48"/>
      <c r="N63" s="48"/>
      <c r="O63" s="48"/>
      <c r="P63" s="48"/>
      <c r="Q63" s="48"/>
      <c r="R63" s="48"/>
      <c r="S63" s="48"/>
      <c r="T63" s="48"/>
      <c r="U63" s="48"/>
      <c r="V63" s="48"/>
      <c r="W63" s="48"/>
      <c r="X63" s="48"/>
      <c r="Y63" s="48"/>
      <c r="Z63" s="48"/>
    </row>
    <row r="64" spans="2:26" s="46" customFormat="1" ht="15" customHeight="1">
      <c r="B64" s="147"/>
      <c r="C64" s="48"/>
      <c r="D64" s="48"/>
      <c r="E64" s="48"/>
      <c r="F64" s="48"/>
      <c r="G64" s="48"/>
      <c r="H64" s="48"/>
      <c r="I64" s="48"/>
      <c r="J64" s="48"/>
      <c r="K64" s="48"/>
      <c r="L64" s="48"/>
      <c r="M64" s="48"/>
      <c r="N64" s="48"/>
      <c r="O64" s="48"/>
      <c r="P64" s="48"/>
      <c r="Q64" s="48"/>
      <c r="R64" s="48"/>
      <c r="S64" s="48"/>
      <c r="T64" s="48"/>
      <c r="U64" s="48"/>
      <c r="V64" s="48"/>
      <c r="W64" s="48"/>
      <c r="X64" s="48"/>
      <c r="Y64" s="48"/>
      <c r="Z64" s="48"/>
    </row>
    <row r="65" spans="2:26" s="46" customFormat="1" ht="15" customHeight="1">
      <c r="B65" s="147"/>
      <c r="C65" s="48"/>
      <c r="D65" s="48"/>
      <c r="E65" s="48"/>
      <c r="F65" s="48"/>
      <c r="G65" s="48"/>
      <c r="H65" s="48"/>
      <c r="I65" s="48"/>
      <c r="J65" s="48"/>
      <c r="K65" s="48"/>
      <c r="L65" s="48"/>
      <c r="M65" s="48"/>
      <c r="N65" s="48"/>
      <c r="O65" s="48"/>
      <c r="P65" s="48"/>
      <c r="Q65" s="48"/>
      <c r="R65" s="48"/>
      <c r="S65" s="48"/>
      <c r="T65" s="48"/>
      <c r="U65" s="48"/>
      <c r="V65" s="48"/>
      <c r="W65" s="48"/>
      <c r="X65" s="48"/>
      <c r="Y65" s="48"/>
      <c r="Z65" s="48"/>
    </row>
    <row r="66" spans="2:26" s="46" customFormat="1" ht="15" customHeight="1">
      <c r="B66" s="147"/>
      <c r="C66" s="48"/>
      <c r="D66" s="48"/>
      <c r="E66" s="48"/>
      <c r="F66" s="48"/>
      <c r="G66" s="48"/>
      <c r="H66" s="48"/>
      <c r="I66" s="48"/>
      <c r="J66" s="48"/>
      <c r="K66" s="48"/>
      <c r="L66" s="48"/>
      <c r="M66" s="48"/>
      <c r="N66" s="48"/>
      <c r="O66" s="48"/>
      <c r="P66" s="48"/>
      <c r="Q66" s="48"/>
      <c r="R66" s="48"/>
      <c r="S66" s="48"/>
      <c r="T66" s="48"/>
      <c r="U66" s="48"/>
      <c r="V66" s="48"/>
      <c r="W66" s="48"/>
      <c r="X66" s="48"/>
      <c r="Y66" s="48"/>
      <c r="Z66" s="48"/>
    </row>
    <row r="67" spans="2:26" s="46" customFormat="1" ht="15" customHeight="1">
      <c r="B67" s="147"/>
      <c r="C67" s="48"/>
      <c r="D67" s="48"/>
      <c r="E67" s="48"/>
      <c r="F67" s="48"/>
      <c r="G67" s="48"/>
      <c r="H67" s="48"/>
      <c r="I67" s="48"/>
      <c r="J67" s="48"/>
      <c r="K67" s="48"/>
      <c r="L67" s="48"/>
      <c r="M67" s="48"/>
      <c r="N67" s="48"/>
      <c r="O67" s="48"/>
      <c r="P67" s="48"/>
      <c r="Q67" s="48"/>
      <c r="R67" s="48"/>
      <c r="S67" s="48"/>
      <c r="T67" s="48"/>
      <c r="U67" s="48"/>
      <c r="V67" s="48"/>
      <c r="W67" s="48"/>
      <c r="X67" s="48"/>
      <c r="Y67" s="48"/>
      <c r="Z67" s="48"/>
    </row>
    <row r="68" spans="2:26" s="46" customFormat="1" ht="15" customHeight="1">
      <c r="B68" s="147"/>
      <c r="C68" s="48"/>
      <c r="D68" s="48"/>
      <c r="E68" s="48"/>
      <c r="F68" s="48"/>
      <c r="G68" s="48"/>
      <c r="H68" s="48"/>
      <c r="I68" s="48"/>
      <c r="J68" s="48"/>
      <c r="K68" s="48"/>
      <c r="L68" s="48"/>
      <c r="M68" s="48"/>
      <c r="N68" s="48"/>
      <c r="O68" s="48"/>
      <c r="P68" s="48"/>
      <c r="Q68" s="48"/>
      <c r="R68" s="48"/>
      <c r="S68" s="48"/>
      <c r="T68" s="48"/>
      <c r="U68" s="48"/>
      <c r="V68" s="48"/>
      <c r="W68" s="48"/>
      <c r="X68" s="48"/>
      <c r="Y68" s="48"/>
      <c r="Z68" s="48"/>
    </row>
    <row r="69" spans="2:26" s="46" customFormat="1" ht="15" customHeight="1">
      <c r="B69" s="147"/>
      <c r="C69" s="48"/>
      <c r="D69" s="48"/>
      <c r="E69" s="48"/>
      <c r="F69" s="48"/>
      <c r="G69" s="48"/>
      <c r="H69" s="48"/>
      <c r="I69" s="48"/>
      <c r="J69" s="48"/>
      <c r="K69" s="48"/>
      <c r="L69" s="48"/>
      <c r="M69" s="48"/>
      <c r="N69" s="48"/>
      <c r="O69" s="48"/>
      <c r="P69" s="48"/>
      <c r="Q69" s="48"/>
      <c r="R69" s="48"/>
      <c r="S69" s="48"/>
      <c r="T69" s="48"/>
      <c r="U69" s="48"/>
      <c r="V69" s="48"/>
      <c r="W69" s="48"/>
      <c r="X69" s="48"/>
      <c r="Y69" s="48"/>
      <c r="Z69" s="48"/>
    </row>
    <row r="70" spans="2:26" s="46" customFormat="1" ht="15" customHeight="1">
      <c r="B70" s="147"/>
      <c r="C70" s="48"/>
      <c r="D70" s="48"/>
      <c r="E70" s="48"/>
      <c r="F70" s="48"/>
      <c r="G70" s="48"/>
      <c r="H70" s="48"/>
      <c r="I70" s="48"/>
      <c r="J70" s="48"/>
      <c r="K70" s="48"/>
      <c r="L70" s="48"/>
      <c r="M70" s="48"/>
      <c r="N70" s="48"/>
      <c r="O70" s="48"/>
      <c r="P70" s="48"/>
      <c r="Q70" s="48"/>
      <c r="R70" s="48"/>
      <c r="S70" s="48"/>
      <c r="T70" s="48"/>
      <c r="U70" s="48"/>
      <c r="V70" s="48"/>
      <c r="W70" s="48"/>
      <c r="X70" s="48"/>
      <c r="Y70" s="48"/>
      <c r="Z70" s="48"/>
    </row>
    <row r="71" spans="2:26" s="46" customFormat="1" ht="15" customHeight="1">
      <c r="B71" s="147"/>
      <c r="C71" s="48"/>
      <c r="D71" s="48"/>
      <c r="E71" s="48"/>
      <c r="F71" s="48"/>
      <c r="G71" s="48"/>
      <c r="H71" s="48"/>
      <c r="I71" s="48"/>
      <c r="J71" s="48"/>
      <c r="K71" s="48"/>
      <c r="L71" s="48"/>
      <c r="M71" s="48"/>
      <c r="N71" s="48"/>
      <c r="O71" s="48"/>
      <c r="P71" s="48"/>
      <c r="Q71" s="48"/>
      <c r="R71" s="48"/>
      <c r="S71" s="48"/>
      <c r="T71" s="48"/>
      <c r="U71" s="48"/>
      <c r="V71" s="48"/>
      <c r="W71" s="48"/>
      <c r="X71" s="48"/>
      <c r="Y71" s="48"/>
      <c r="Z71" s="48"/>
    </row>
    <row r="72" spans="2:26" s="46" customFormat="1" ht="15" customHeight="1">
      <c r="B72" s="147"/>
      <c r="C72" s="48"/>
      <c r="D72" s="48"/>
      <c r="E72" s="48"/>
      <c r="F72" s="48"/>
      <c r="G72" s="48"/>
      <c r="H72" s="48"/>
      <c r="I72" s="48"/>
      <c r="J72" s="48"/>
      <c r="K72" s="48"/>
      <c r="L72" s="48"/>
      <c r="M72" s="48"/>
      <c r="N72" s="48"/>
      <c r="O72" s="48"/>
      <c r="P72" s="48"/>
      <c r="Q72" s="48"/>
      <c r="R72" s="48"/>
      <c r="S72" s="48"/>
      <c r="T72" s="48"/>
      <c r="U72" s="48"/>
      <c r="V72" s="48"/>
      <c r="W72" s="48"/>
      <c r="X72" s="48"/>
      <c r="Y72" s="48"/>
      <c r="Z72" s="48"/>
    </row>
    <row r="73" spans="2:26" s="46" customFormat="1" ht="15" customHeight="1">
      <c r="B73" s="147"/>
      <c r="C73" s="48"/>
      <c r="D73" s="48"/>
      <c r="E73" s="48"/>
      <c r="F73" s="48"/>
      <c r="G73" s="48"/>
      <c r="H73" s="48"/>
      <c r="I73" s="48"/>
      <c r="J73" s="48"/>
      <c r="K73" s="48"/>
      <c r="L73" s="48"/>
      <c r="M73" s="48"/>
      <c r="N73" s="48"/>
      <c r="O73" s="48"/>
      <c r="P73" s="48"/>
      <c r="Q73" s="48"/>
      <c r="R73" s="48"/>
      <c r="S73" s="48"/>
      <c r="T73" s="48"/>
      <c r="U73" s="48"/>
      <c r="V73" s="48"/>
      <c r="W73" s="48"/>
      <c r="X73" s="48"/>
      <c r="Y73" s="48"/>
      <c r="Z73" s="48"/>
    </row>
    <row r="74" spans="2:26" s="46" customFormat="1" ht="15" customHeight="1">
      <c r="B74" s="147"/>
      <c r="C74" s="48"/>
      <c r="D74" s="48"/>
      <c r="E74" s="48"/>
      <c r="F74" s="48"/>
      <c r="G74" s="48"/>
      <c r="H74" s="48"/>
      <c r="I74" s="48"/>
      <c r="J74" s="48"/>
      <c r="K74" s="48"/>
      <c r="L74" s="48"/>
      <c r="M74" s="48"/>
      <c r="N74" s="48"/>
      <c r="O74" s="48"/>
      <c r="P74" s="48"/>
      <c r="Q74" s="48"/>
      <c r="R74" s="48"/>
      <c r="S74" s="48"/>
      <c r="T74" s="48"/>
      <c r="U74" s="48"/>
      <c r="V74" s="48"/>
      <c r="W74" s="48"/>
      <c r="X74" s="48"/>
      <c r="Y74" s="48"/>
      <c r="Z74" s="48"/>
    </row>
    <row r="75" spans="2:26" s="46" customFormat="1" ht="15" customHeight="1">
      <c r="B75" s="147"/>
      <c r="C75" s="48"/>
      <c r="D75" s="48"/>
      <c r="E75" s="48"/>
      <c r="F75" s="48"/>
      <c r="G75" s="48"/>
      <c r="H75" s="48"/>
      <c r="I75" s="48"/>
      <c r="J75" s="48"/>
      <c r="K75" s="48"/>
      <c r="L75" s="48"/>
      <c r="M75" s="48"/>
      <c r="N75" s="48"/>
      <c r="O75" s="48"/>
      <c r="P75" s="48"/>
      <c r="Q75" s="48"/>
      <c r="R75" s="48"/>
      <c r="S75" s="48"/>
      <c r="T75" s="48"/>
      <c r="U75" s="48"/>
      <c r="V75" s="48"/>
      <c r="W75" s="48"/>
      <c r="X75" s="48"/>
      <c r="Y75" s="48"/>
      <c r="Z75" s="48"/>
    </row>
    <row r="76" spans="2:26" s="46" customFormat="1" ht="15" customHeight="1">
      <c r="B76" s="147"/>
      <c r="C76" s="48"/>
      <c r="D76" s="48"/>
      <c r="E76" s="48"/>
      <c r="F76" s="48"/>
      <c r="G76" s="48"/>
      <c r="H76" s="48"/>
      <c r="I76" s="48"/>
      <c r="J76" s="48"/>
      <c r="K76" s="48"/>
      <c r="L76" s="48"/>
      <c r="M76" s="48"/>
      <c r="N76" s="48"/>
      <c r="O76" s="48"/>
      <c r="P76" s="48"/>
      <c r="Q76" s="48"/>
      <c r="R76" s="48"/>
      <c r="S76" s="48"/>
      <c r="T76" s="48"/>
      <c r="U76" s="48"/>
      <c r="V76" s="48"/>
      <c r="W76" s="48"/>
      <c r="X76" s="48"/>
      <c r="Y76" s="48"/>
      <c r="Z76" s="48"/>
    </row>
    <row r="77" spans="2:26" s="46" customFormat="1" ht="15" customHeight="1">
      <c r="B77" s="147"/>
      <c r="C77" s="48"/>
      <c r="D77" s="48"/>
      <c r="E77" s="48"/>
      <c r="F77" s="48"/>
      <c r="G77" s="48"/>
      <c r="H77" s="48"/>
      <c r="I77" s="48"/>
      <c r="J77" s="48"/>
      <c r="K77" s="48"/>
      <c r="L77" s="48"/>
      <c r="M77" s="48"/>
      <c r="N77" s="48"/>
      <c r="O77" s="48"/>
      <c r="P77" s="48"/>
      <c r="Q77" s="48"/>
      <c r="R77" s="48"/>
      <c r="S77" s="48"/>
      <c r="T77" s="48"/>
      <c r="U77" s="48"/>
      <c r="V77" s="48"/>
      <c r="W77" s="48"/>
      <c r="X77" s="48"/>
      <c r="Y77" s="48"/>
      <c r="Z77" s="48"/>
    </row>
    <row r="78" spans="2:26" s="46" customFormat="1" ht="15" customHeight="1">
      <c r="B78" s="147"/>
      <c r="C78" s="48"/>
      <c r="D78" s="48"/>
      <c r="E78" s="48"/>
      <c r="F78" s="48"/>
      <c r="G78" s="48"/>
      <c r="H78" s="48"/>
      <c r="I78" s="48"/>
      <c r="J78" s="48"/>
      <c r="K78" s="48"/>
      <c r="L78" s="48"/>
      <c r="M78" s="48"/>
      <c r="N78" s="48"/>
      <c r="O78" s="48"/>
      <c r="P78" s="48"/>
      <c r="Q78" s="48"/>
      <c r="R78" s="48"/>
      <c r="S78" s="48"/>
      <c r="T78" s="48"/>
      <c r="U78" s="48"/>
      <c r="V78" s="48"/>
      <c r="W78" s="48"/>
      <c r="X78" s="48"/>
      <c r="Y78" s="48"/>
      <c r="Z78" s="48"/>
    </row>
    <row r="79" spans="2:26" s="46" customFormat="1" ht="15" customHeight="1">
      <c r="B79" s="147"/>
      <c r="C79" s="48"/>
      <c r="D79" s="48"/>
      <c r="E79" s="48"/>
      <c r="F79" s="48"/>
      <c r="G79" s="48"/>
      <c r="H79" s="48"/>
      <c r="I79" s="48"/>
      <c r="J79" s="48"/>
      <c r="K79" s="48"/>
      <c r="L79" s="48"/>
      <c r="M79" s="48"/>
      <c r="N79" s="48"/>
      <c r="O79" s="48"/>
      <c r="P79" s="48"/>
      <c r="Q79" s="48"/>
      <c r="R79" s="48"/>
      <c r="S79" s="48"/>
      <c r="T79" s="48"/>
      <c r="U79" s="48"/>
      <c r="V79" s="48"/>
      <c r="W79" s="48"/>
      <c r="X79" s="48"/>
      <c r="Y79" s="48"/>
      <c r="Z79" s="48"/>
    </row>
    <row r="80" spans="2:26" s="46" customFormat="1" ht="15" customHeight="1">
      <c r="B80" s="147"/>
      <c r="C80" s="48"/>
      <c r="D80" s="48"/>
      <c r="E80" s="48"/>
      <c r="F80" s="48"/>
      <c r="G80" s="48"/>
      <c r="H80" s="48"/>
      <c r="I80" s="48"/>
      <c r="J80" s="48"/>
      <c r="K80" s="48"/>
      <c r="L80" s="48"/>
      <c r="M80" s="48"/>
      <c r="N80" s="48"/>
      <c r="O80" s="48"/>
      <c r="P80" s="48"/>
      <c r="Q80" s="48"/>
      <c r="R80" s="48"/>
      <c r="S80" s="48"/>
      <c r="T80" s="48"/>
      <c r="U80" s="48"/>
      <c r="V80" s="48"/>
      <c r="W80" s="48"/>
      <c r="X80" s="48"/>
      <c r="Y80" s="48"/>
      <c r="Z80" s="48"/>
    </row>
    <row r="81" spans="2:26" s="46" customFormat="1" ht="15" customHeight="1">
      <c r="B81" s="147"/>
      <c r="C81" s="48"/>
      <c r="D81" s="48"/>
      <c r="E81" s="48"/>
      <c r="F81" s="48"/>
      <c r="G81" s="48"/>
      <c r="H81" s="48"/>
      <c r="I81" s="48"/>
      <c r="J81" s="48"/>
      <c r="K81" s="48"/>
      <c r="L81" s="48"/>
      <c r="M81" s="48"/>
      <c r="N81" s="48"/>
      <c r="O81" s="48"/>
      <c r="P81" s="48"/>
      <c r="Q81" s="48"/>
      <c r="R81" s="48"/>
      <c r="S81" s="48"/>
      <c r="T81" s="48"/>
      <c r="U81" s="48"/>
      <c r="V81" s="48"/>
      <c r="W81" s="48"/>
      <c r="X81" s="48"/>
      <c r="Y81" s="48"/>
      <c r="Z81" s="48"/>
    </row>
    <row r="82" spans="2:26" s="46" customFormat="1" ht="15" customHeight="1">
      <c r="B82" s="147"/>
      <c r="C82" s="48"/>
      <c r="D82" s="48"/>
      <c r="E82" s="48"/>
      <c r="F82" s="48"/>
      <c r="G82" s="48"/>
      <c r="H82" s="48"/>
      <c r="I82" s="48"/>
      <c r="J82" s="48"/>
      <c r="K82" s="48"/>
      <c r="L82" s="48"/>
      <c r="M82" s="48"/>
      <c r="N82" s="48"/>
      <c r="O82" s="48"/>
      <c r="P82" s="48"/>
      <c r="Q82" s="48"/>
      <c r="R82" s="48"/>
      <c r="S82" s="48"/>
      <c r="T82" s="48"/>
      <c r="U82" s="48"/>
      <c r="V82" s="48"/>
      <c r="W82" s="48"/>
      <c r="X82" s="48"/>
      <c r="Y82" s="48"/>
      <c r="Z82" s="48"/>
    </row>
    <row r="83" spans="2:26" s="46" customFormat="1" ht="15" customHeight="1">
      <c r="B83" s="147"/>
      <c r="C83" s="48"/>
      <c r="D83" s="48"/>
      <c r="E83" s="48"/>
      <c r="F83" s="48"/>
      <c r="G83" s="48"/>
      <c r="H83" s="48"/>
      <c r="I83" s="48"/>
      <c r="J83" s="48"/>
      <c r="K83" s="48"/>
      <c r="L83" s="48"/>
      <c r="M83" s="48"/>
      <c r="N83" s="48"/>
      <c r="O83" s="48"/>
      <c r="P83" s="48"/>
      <c r="Q83" s="48"/>
      <c r="R83" s="48"/>
      <c r="S83" s="48"/>
      <c r="T83" s="48"/>
      <c r="U83" s="48"/>
      <c r="V83" s="48"/>
      <c r="W83" s="48"/>
      <c r="X83" s="48"/>
      <c r="Y83" s="48"/>
      <c r="Z83" s="48"/>
    </row>
    <row r="84" spans="2:26" s="46" customFormat="1" ht="15" customHeight="1">
      <c r="B84" s="147"/>
      <c r="C84" s="48"/>
      <c r="D84" s="48"/>
      <c r="E84" s="48"/>
      <c r="F84" s="48"/>
      <c r="G84" s="48"/>
      <c r="H84" s="48"/>
      <c r="I84" s="48"/>
      <c r="J84" s="48"/>
      <c r="K84" s="48"/>
      <c r="L84" s="48"/>
      <c r="M84" s="48"/>
      <c r="N84" s="48"/>
      <c r="O84" s="48"/>
      <c r="P84" s="48"/>
      <c r="Q84" s="48"/>
      <c r="R84" s="48"/>
      <c r="S84" s="48"/>
      <c r="T84" s="48"/>
      <c r="U84" s="48"/>
      <c r="V84" s="48"/>
      <c r="W84" s="48"/>
      <c r="X84" s="48"/>
      <c r="Y84" s="48"/>
      <c r="Z84" s="48"/>
    </row>
    <row r="85" spans="2:26" s="46" customFormat="1" ht="15" customHeight="1">
      <c r="B85" s="147"/>
      <c r="C85" s="48"/>
      <c r="D85" s="48"/>
      <c r="E85" s="48"/>
      <c r="F85" s="48"/>
      <c r="G85" s="48"/>
      <c r="H85" s="48"/>
      <c r="I85" s="48"/>
      <c r="J85" s="48"/>
      <c r="K85" s="48"/>
      <c r="L85" s="48"/>
      <c r="M85" s="48"/>
      <c r="N85" s="48"/>
      <c r="O85" s="48"/>
      <c r="P85" s="48"/>
      <c r="Q85" s="48"/>
      <c r="R85" s="48"/>
      <c r="S85" s="48"/>
      <c r="T85" s="48"/>
      <c r="U85" s="48"/>
      <c r="V85" s="48"/>
      <c r="W85" s="48"/>
      <c r="X85" s="48"/>
      <c r="Y85" s="48"/>
      <c r="Z85" s="48"/>
    </row>
    <row r="86" spans="2:26" s="46" customFormat="1" ht="15" customHeight="1">
      <c r="B86" s="147"/>
      <c r="C86" s="48"/>
      <c r="D86" s="48"/>
      <c r="E86" s="48"/>
      <c r="F86" s="48"/>
      <c r="G86" s="48"/>
      <c r="H86" s="48"/>
      <c r="I86" s="48"/>
      <c r="J86" s="48"/>
      <c r="K86" s="48"/>
      <c r="L86" s="48"/>
      <c r="M86" s="48"/>
      <c r="N86" s="48"/>
      <c r="O86" s="48"/>
      <c r="P86" s="48"/>
      <c r="Q86" s="48"/>
      <c r="R86" s="48"/>
      <c r="S86" s="48"/>
      <c r="T86" s="48"/>
      <c r="U86" s="48"/>
      <c r="V86" s="48"/>
      <c r="W86" s="48"/>
      <c r="X86" s="48"/>
      <c r="Y86" s="48"/>
      <c r="Z86" s="48"/>
    </row>
    <row r="87" spans="2:26" s="46" customFormat="1" ht="15" customHeight="1">
      <c r="B87" s="147"/>
      <c r="C87" s="48"/>
      <c r="D87" s="48"/>
      <c r="E87" s="48"/>
      <c r="F87" s="48"/>
      <c r="G87" s="48"/>
      <c r="H87" s="48"/>
      <c r="I87" s="48"/>
      <c r="J87" s="48"/>
      <c r="K87" s="48"/>
      <c r="L87" s="48"/>
      <c r="M87" s="48"/>
      <c r="N87" s="48"/>
      <c r="O87" s="48"/>
      <c r="P87" s="48"/>
      <c r="Q87" s="48"/>
      <c r="R87" s="48"/>
      <c r="S87" s="48"/>
      <c r="T87" s="48"/>
      <c r="U87" s="48"/>
      <c r="V87" s="48"/>
      <c r="W87" s="48"/>
      <c r="X87" s="48"/>
      <c r="Y87" s="48"/>
      <c r="Z87" s="48"/>
    </row>
    <row r="88" spans="2:26" s="46" customFormat="1" ht="15" customHeight="1">
      <c r="B88" s="147"/>
      <c r="C88" s="48"/>
      <c r="D88" s="48"/>
      <c r="E88" s="48"/>
      <c r="F88" s="48"/>
      <c r="G88" s="48"/>
      <c r="H88" s="48"/>
      <c r="I88" s="48"/>
      <c r="J88" s="48"/>
      <c r="K88" s="48"/>
      <c r="L88" s="48"/>
      <c r="M88" s="48"/>
      <c r="N88" s="48"/>
      <c r="O88" s="48"/>
      <c r="P88" s="48"/>
      <c r="Q88" s="48"/>
      <c r="R88" s="48"/>
      <c r="S88" s="48"/>
      <c r="T88" s="48"/>
      <c r="U88" s="48"/>
      <c r="V88" s="48"/>
      <c r="W88" s="48"/>
      <c r="X88" s="48"/>
      <c r="Y88" s="48"/>
      <c r="Z88" s="48"/>
    </row>
    <row r="89" spans="2:26" s="46" customFormat="1" ht="15" customHeight="1">
      <c r="B89" s="147"/>
      <c r="C89" s="48"/>
      <c r="D89" s="48"/>
      <c r="E89" s="48"/>
      <c r="F89" s="48"/>
      <c r="G89" s="48"/>
      <c r="H89" s="48"/>
      <c r="I89" s="48"/>
      <c r="J89" s="48"/>
      <c r="K89" s="48"/>
      <c r="L89" s="48"/>
      <c r="M89" s="48"/>
      <c r="N89" s="48"/>
      <c r="O89" s="48"/>
      <c r="P89" s="48"/>
      <c r="Q89" s="48"/>
      <c r="R89" s="48"/>
      <c r="S89" s="48"/>
      <c r="T89" s="48"/>
      <c r="U89" s="48"/>
      <c r="V89" s="48"/>
      <c r="W89" s="48"/>
      <c r="X89" s="48"/>
      <c r="Y89" s="48"/>
      <c r="Z89" s="48"/>
    </row>
    <row r="90" spans="2:26" s="46" customFormat="1" ht="15" customHeight="1">
      <c r="B90" s="147"/>
      <c r="C90" s="48"/>
      <c r="D90" s="48"/>
      <c r="E90" s="48"/>
      <c r="F90" s="48"/>
      <c r="G90" s="48"/>
      <c r="H90" s="48"/>
      <c r="I90" s="48"/>
      <c r="J90" s="48"/>
      <c r="K90" s="48"/>
      <c r="L90" s="48"/>
      <c r="M90" s="48"/>
      <c r="N90" s="48"/>
      <c r="O90" s="48"/>
      <c r="P90" s="48"/>
      <c r="Q90" s="48"/>
      <c r="R90" s="48"/>
      <c r="S90" s="48"/>
      <c r="T90" s="48"/>
      <c r="U90" s="48"/>
      <c r="V90" s="48"/>
      <c r="W90" s="48"/>
      <c r="X90" s="48"/>
      <c r="Y90" s="48"/>
      <c r="Z90" s="48"/>
    </row>
    <row r="91" spans="2:26" s="46" customFormat="1" ht="15" customHeight="1">
      <c r="B91" s="147"/>
      <c r="C91" s="48"/>
      <c r="D91" s="48"/>
      <c r="E91" s="48"/>
      <c r="F91" s="48"/>
      <c r="G91" s="48"/>
      <c r="H91" s="48"/>
      <c r="I91" s="48"/>
      <c r="J91" s="48"/>
      <c r="K91" s="48"/>
      <c r="L91" s="48"/>
      <c r="M91" s="48"/>
      <c r="N91" s="48"/>
      <c r="O91" s="48"/>
      <c r="P91" s="48"/>
      <c r="Q91" s="48"/>
      <c r="R91" s="48"/>
      <c r="S91" s="48"/>
      <c r="T91" s="48"/>
      <c r="U91" s="48"/>
      <c r="V91" s="48"/>
      <c r="W91" s="48"/>
      <c r="X91" s="48"/>
      <c r="Y91" s="48"/>
      <c r="Z91" s="48"/>
    </row>
    <row r="92" spans="2:26" s="46" customFormat="1" ht="15" customHeight="1">
      <c r="B92" s="147"/>
      <c r="C92" s="48"/>
      <c r="D92" s="48"/>
      <c r="E92" s="48"/>
      <c r="F92" s="48"/>
      <c r="G92" s="48"/>
      <c r="H92" s="48"/>
      <c r="I92" s="48"/>
      <c r="J92" s="48"/>
      <c r="K92" s="48"/>
      <c r="L92" s="48"/>
      <c r="M92" s="48"/>
      <c r="N92" s="48"/>
      <c r="O92" s="48"/>
      <c r="P92" s="48"/>
      <c r="Q92" s="48"/>
      <c r="R92" s="48"/>
      <c r="S92" s="48"/>
      <c r="T92" s="48"/>
      <c r="U92" s="48"/>
      <c r="V92" s="48"/>
      <c r="W92" s="48"/>
      <c r="X92" s="48"/>
      <c r="Y92" s="48"/>
      <c r="Z92" s="48"/>
    </row>
    <row r="93" spans="2:26" s="46" customFormat="1" ht="15" customHeight="1">
      <c r="B93" s="147"/>
      <c r="C93" s="48"/>
      <c r="D93" s="48"/>
      <c r="E93" s="48"/>
      <c r="F93" s="48"/>
      <c r="G93" s="48"/>
      <c r="H93" s="48"/>
      <c r="I93" s="48"/>
      <c r="J93" s="48"/>
      <c r="K93" s="48"/>
      <c r="L93" s="48"/>
      <c r="M93" s="48"/>
      <c r="N93" s="48"/>
      <c r="O93" s="48"/>
      <c r="P93" s="48"/>
      <c r="Q93" s="48"/>
      <c r="R93" s="48"/>
      <c r="S93" s="48"/>
      <c r="T93" s="48"/>
      <c r="U93" s="48"/>
      <c r="V93" s="48"/>
      <c r="W93" s="48"/>
      <c r="X93" s="48"/>
      <c r="Y93" s="48"/>
      <c r="Z93" s="48"/>
    </row>
    <row r="94" spans="2:26" s="46" customFormat="1" ht="15" customHeight="1">
      <c r="B94" s="147"/>
      <c r="C94" s="48"/>
      <c r="D94" s="48"/>
      <c r="E94" s="48"/>
      <c r="F94" s="48"/>
      <c r="G94" s="48"/>
      <c r="H94" s="48"/>
      <c r="I94" s="48"/>
      <c r="J94" s="48"/>
      <c r="K94" s="48"/>
      <c r="L94" s="48"/>
      <c r="M94" s="48"/>
      <c r="N94" s="48"/>
      <c r="O94" s="48"/>
      <c r="P94" s="48"/>
      <c r="Q94" s="48"/>
      <c r="R94" s="48"/>
      <c r="S94" s="48"/>
      <c r="T94" s="48"/>
      <c r="U94" s="48"/>
      <c r="V94" s="48"/>
      <c r="W94" s="48"/>
      <c r="X94" s="48"/>
      <c r="Y94" s="48"/>
      <c r="Z94" s="48"/>
    </row>
    <row r="95" spans="2:26" s="46" customFormat="1" ht="15" customHeight="1">
      <c r="B95" s="147"/>
      <c r="C95" s="48"/>
      <c r="D95" s="48"/>
      <c r="E95" s="48"/>
      <c r="F95" s="48"/>
      <c r="G95" s="48"/>
      <c r="H95" s="48"/>
      <c r="I95" s="48"/>
      <c r="J95" s="48"/>
      <c r="K95" s="48"/>
      <c r="L95" s="48"/>
      <c r="M95" s="48"/>
      <c r="N95" s="48"/>
      <c r="O95" s="48"/>
      <c r="P95" s="48"/>
      <c r="Q95" s="48"/>
      <c r="R95" s="48"/>
      <c r="S95" s="48"/>
      <c r="T95" s="48"/>
      <c r="U95" s="48"/>
      <c r="V95" s="48"/>
      <c r="W95" s="48"/>
      <c r="X95" s="48"/>
      <c r="Y95" s="48"/>
      <c r="Z95" s="48"/>
    </row>
    <row r="96" spans="2:26" s="46" customFormat="1" ht="15" customHeight="1">
      <c r="B96" s="147"/>
      <c r="C96" s="48"/>
      <c r="D96" s="48"/>
      <c r="E96" s="48"/>
      <c r="F96" s="48"/>
      <c r="G96" s="48"/>
      <c r="H96" s="48"/>
      <c r="I96" s="48"/>
      <c r="J96" s="48"/>
      <c r="K96" s="48"/>
      <c r="L96" s="48"/>
      <c r="M96" s="48"/>
      <c r="N96" s="48"/>
      <c r="O96" s="48"/>
      <c r="P96" s="48"/>
      <c r="Q96" s="48"/>
      <c r="R96" s="48"/>
      <c r="S96" s="48"/>
      <c r="T96" s="48"/>
      <c r="U96" s="48"/>
      <c r="V96" s="48"/>
      <c r="W96" s="48"/>
      <c r="X96" s="48"/>
      <c r="Y96" s="48"/>
      <c r="Z96" s="48"/>
    </row>
    <row r="97" spans="2:26" s="46" customFormat="1" ht="15" customHeight="1">
      <c r="B97" s="147"/>
      <c r="C97" s="48"/>
      <c r="D97" s="48"/>
      <c r="E97" s="48"/>
      <c r="F97" s="48"/>
      <c r="G97" s="48"/>
      <c r="H97" s="48"/>
      <c r="I97" s="48"/>
      <c r="J97" s="48"/>
      <c r="K97" s="48"/>
      <c r="L97" s="48"/>
      <c r="M97" s="48"/>
      <c r="N97" s="48"/>
      <c r="O97" s="48"/>
      <c r="P97" s="48"/>
      <c r="Q97" s="48"/>
      <c r="R97" s="48"/>
      <c r="S97" s="48"/>
      <c r="T97" s="48"/>
      <c r="U97" s="48"/>
      <c r="V97" s="48"/>
      <c r="W97" s="48"/>
      <c r="X97" s="48"/>
      <c r="Y97" s="48"/>
      <c r="Z97" s="48"/>
    </row>
    <row r="98" spans="2:26" s="46" customFormat="1" ht="15" customHeight="1">
      <c r="B98" s="147"/>
      <c r="C98" s="48"/>
      <c r="D98" s="48"/>
      <c r="E98" s="48"/>
      <c r="F98" s="48"/>
      <c r="G98" s="48"/>
      <c r="H98" s="48"/>
      <c r="I98" s="48"/>
      <c r="J98" s="48"/>
      <c r="K98" s="48"/>
      <c r="L98" s="48"/>
      <c r="M98" s="48"/>
      <c r="N98" s="48"/>
      <c r="O98" s="48"/>
      <c r="P98" s="48"/>
      <c r="Q98" s="48"/>
      <c r="R98" s="48"/>
      <c r="S98" s="48"/>
      <c r="T98" s="48"/>
      <c r="U98" s="48"/>
      <c r="V98" s="48"/>
      <c r="W98" s="48"/>
      <c r="X98" s="48"/>
      <c r="Y98" s="48"/>
      <c r="Z98" s="48"/>
    </row>
    <row r="99" spans="2:26" s="46" customFormat="1" ht="15" customHeight="1">
      <c r="B99" s="147"/>
      <c r="C99" s="48"/>
      <c r="D99" s="48"/>
      <c r="E99" s="48"/>
      <c r="F99" s="48"/>
      <c r="G99" s="48"/>
      <c r="H99" s="48"/>
      <c r="I99" s="48"/>
      <c r="J99" s="48"/>
      <c r="K99" s="48"/>
      <c r="L99" s="48"/>
      <c r="M99" s="48"/>
      <c r="N99" s="48"/>
      <c r="O99" s="48"/>
      <c r="P99" s="48"/>
      <c r="Q99" s="48"/>
      <c r="R99" s="48"/>
      <c r="S99" s="48"/>
      <c r="T99" s="48"/>
      <c r="U99" s="48"/>
      <c r="V99" s="48"/>
      <c r="W99" s="48"/>
      <c r="X99" s="48"/>
      <c r="Y99" s="48"/>
      <c r="Z99" s="48"/>
    </row>
    <row r="100" spans="2:26" s="46" customFormat="1" ht="15" customHeight="1">
      <c r="B100" s="147"/>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row>
    <row r="101" spans="2:26" s="46" customFormat="1" ht="15" customHeight="1">
      <c r="B101" s="147"/>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row>
    <row r="102" spans="2:26" s="46" customFormat="1" ht="15" customHeight="1">
      <c r="B102" s="147"/>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row>
    <row r="103" spans="2:26" s="46" customFormat="1" ht="15" customHeight="1">
      <c r="B103" s="147"/>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row>
    <row r="104" spans="2:26" s="46" customFormat="1" ht="15" customHeight="1">
      <c r="B104" s="147"/>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spans="2:26" s="46" customFormat="1" ht="15" customHeight="1">
      <c r="B105" s="147"/>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spans="2:26" s="46" customFormat="1" ht="15" customHeight="1">
      <c r="B106" s="147"/>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spans="2:26" s="46" customFormat="1" ht="15" customHeight="1">
      <c r="B107" s="147"/>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spans="2:26" s="46" customFormat="1" ht="15" customHeight="1">
      <c r="B108" s="147"/>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spans="2:26" s="46" customFormat="1" ht="15" customHeight="1">
      <c r="B109" s="147"/>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2:26" s="46" customFormat="1" ht="15" customHeight="1">
      <c r="B110" s="147"/>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spans="2:26" s="46" customFormat="1" ht="15" customHeight="1">
      <c r="B111" s="147"/>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spans="2:26" s="46" customFormat="1" ht="15" customHeight="1">
      <c r="B112" s="147"/>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spans="2:26" s="46" customFormat="1" ht="15" customHeight="1">
      <c r="B113" s="147"/>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spans="2:26" s="46" customFormat="1" ht="15" customHeight="1">
      <c r="B114" s="147"/>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spans="2:26" s="46" customFormat="1" ht="15" customHeight="1">
      <c r="B115" s="147"/>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spans="2:26" s="46" customFormat="1" ht="15" customHeight="1">
      <c r="B116" s="147"/>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2:26" s="46" customFormat="1" ht="15" customHeight="1">
      <c r="B117" s="147"/>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spans="2:26" s="46" customFormat="1" ht="15" customHeight="1">
      <c r="B118" s="147"/>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spans="2:26" s="46" customFormat="1" ht="15" customHeight="1">
      <c r="B119" s="147"/>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spans="2:26" s="46" customFormat="1" ht="15" customHeight="1">
      <c r="B120" s="147"/>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spans="2:26" s="46" customFormat="1" ht="15" customHeight="1">
      <c r="B121" s="147"/>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spans="2:26" s="46" customFormat="1" ht="15" customHeight="1">
      <c r="B122" s="147"/>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spans="2:26" s="46" customFormat="1" ht="15" customHeight="1">
      <c r="B123" s="147"/>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spans="2:26" s="46" customFormat="1" ht="15" customHeight="1">
      <c r="B124" s="147"/>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spans="2:26" s="46" customFormat="1" ht="15" customHeight="1">
      <c r="B125" s="147"/>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2:26" s="46" customFormat="1" ht="15" customHeight="1">
      <c r="B126" s="147"/>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spans="2:26" s="46" customFormat="1" ht="15" customHeight="1">
      <c r="B127" s="147"/>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spans="2:26" s="46" customFormat="1" ht="15" customHeight="1">
      <c r="B128" s="147"/>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spans="2:26" s="46" customFormat="1" ht="15" customHeight="1">
      <c r="B129" s="147"/>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spans="2:26" s="46" customFormat="1" ht="15" customHeight="1">
      <c r="B130" s="147"/>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spans="2:26" s="46" customFormat="1" ht="15" customHeight="1">
      <c r="B131" s="147"/>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spans="2:26" s="46" customFormat="1" ht="15" customHeight="1">
      <c r="B132" s="147"/>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2:26" s="46" customFormat="1" ht="15" customHeight="1">
      <c r="B133" s="147"/>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spans="2:26" s="46" customFormat="1" ht="15" customHeight="1">
      <c r="B134" s="147"/>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spans="2:26" s="46" customFormat="1" ht="15" customHeight="1">
      <c r="B135" s="147"/>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spans="2:26" s="46" customFormat="1" ht="15" customHeight="1">
      <c r="B136" s="147"/>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spans="2:26" s="46" customFormat="1" ht="15" customHeight="1">
      <c r="B137" s="147"/>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spans="2:26" s="46" customFormat="1" ht="15" customHeight="1">
      <c r="B138" s="147"/>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spans="2:26" s="46" customFormat="1" ht="15" customHeight="1">
      <c r="B139" s="147"/>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2:26" s="46" customFormat="1" ht="15" customHeight="1">
      <c r="B140" s="147"/>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spans="2:26" s="46" customFormat="1" ht="15" customHeight="1">
      <c r="B141" s="147"/>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2:26" s="46" customFormat="1" ht="15" customHeight="1">
      <c r="B142" s="147"/>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spans="2:26" s="46" customFormat="1" ht="15" customHeight="1">
      <c r="B143" s="147"/>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2:26" s="46" customFormat="1" ht="15" customHeight="1">
      <c r="B144" s="147"/>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spans="2:26" s="46" customFormat="1" ht="15" customHeight="1">
      <c r="B145" s="147"/>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2:26" s="46" customFormat="1" ht="15" customHeight="1">
      <c r="B146" s="147"/>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2:26" s="46" customFormat="1" ht="15" customHeight="1">
      <c r="B147" s="147"/>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2:26" s="46" customFormat="1" ht="15" customHeight="1">
      <c r="B148" s="147"/>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spans="2:26" s="46" customFormat="1" ht="15" customHeight="1">
      <c r="B149" s="147"/>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spans="2:26" s="46" customFormat="1" ht="15" customHeight="1">
      <c r="B150" s="147"/>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spans="2:26" s="46" customFormat="1" ht="15" customHeight="1">
      <c r="B151" s="147"/>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spans="2:26" s="46" customFormat="1" ht="15" customHeight="1">
      <c r="B152" s="147"/>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2:26" s="46" customFormat="1" ht="15" customHeight="1">
      <c r="B153" s="147"/>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spans="2:26" s="46" customFormat="1" ht="15" customHeight="1">
      <c r="B154" s="147"/>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spans="2:26" s="46" customFormat="1" ht="15" customHeight="1">
      <c r="B155" s="147"/>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spans="2:26" s="46" customFormat="1" ht="15" customHeight="1">
      <c r="B156" s="147"/>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spans="2:26" s="46" customFormat="1" ht="15" customHeight="1">
      <c r="B157" s="147"/>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spans="2:26" s="46" customFormat="1" ht="15" customHeight="1">
      <c r="B158" s="147"/>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spans="2:26" s="46" customFormat="1" ht="15" customHeight="1">
      <c r="B159" s="147"/>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2:26" s="46" customFormat="1" ht="15" customHeight="1">
      <c r="B160" s="147"/>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spans="2:26" s="46" customFormat="1" ht="15" customHeight="1">
      <c r="B161" s="147"/>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spans="2:26" s="46" customFormat="1" ht="15" customHeight="1">
      <c r="B162" s="147"/>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spans="2:26" s="46" customFormat="1" ht="15" customHeight="1">
      <c r="B163" s="147"/>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spans="2:26" s="46" customFormat="1" ht="15" customHeight="1">
      <c r="B164" s="147"/>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spans="2:26" s="46" customFormat="1" ht="15" customHeight="1">
      <c r="B165" s="147"/>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2:26" s="46" customFormat="1" ht="15" customHeight="1">
      <c r="B166" s="147"/>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spans="2:26" s="46" customFormat="1" ht="15" customHeight="1">
      <c r="B167" s="147"/>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spans="2:26" s="46" customFormat="1" ht="15" customHeight="1">
      <c r="B168" s="147"/>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spans="2:26" s="46" customFormat="1" ht="15" customHeight="1">
      <c r="B169" s="147"/>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spans="2:26" s="46" customFormat="1" ht="15" customHeight="1">
      <c r="B170" s="147"/>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spans="2:26" s="46" customFormat="1" ht="15" customHeight="1">
      <c r="B171" s="147"/>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spans="2:26" s="46" customFormat="1" ht="15" customHeight="1">
      <c r="B172" s="147"/>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2:26" s="46" customFormat="1" ht="15" customHeight="1">
      <c r="B173" s="147"/>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spans="2:26" s="46" customFormat="1" ht="15" customHeight="1">
      <c r="B174" s="147"/>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spans="2:26" s="46" customFormat="1" ht="15" customHeight="1">
      <c r="B175" s="147"/>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spans="2:26" s="46" customFormat="1" ht="15" customHeight="1">
      <c r="B176" s="147"/>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2:26" s="46" customFormat="1" ht="15" customHeight="1">
      <c r="B177" s="147"/>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spans="2:26" s="46" customFormat="1" ht="15" customHeight="1">
      <c r="B178" s="147"/>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2:26" s="46" customFormat="1" ht="15" customHeight="1">
      <c r="B179" s="147"/>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spans="2:26" s="46" customFormat="1" ht="15" customHeight="1">
      <c r="B180" s="147"/>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2:26" s="46" customFormat="1" ht="15" customHeight="1">
      <c r="B181" s="147"/>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spans="2:26" s="46" customFormat="1" ht="15" customHeight="1">
      <c r="B182" s="147"/>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2:26" s="46" customFormat="1" ht="15" customHeight="1">
      <c r="B183" s="147"/>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2:26" s="46" customFormat="1" ht="15" customHeight="1">
      <c r="B184" s="147"/>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spans="2:26" s="46" customFormat="1" ht="15" customHeight="1">
      <c r="B185" s="147"/>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2:26" s="46" customFormat="1" ht="15" customHeight="1">
      <c r="B186" s="147"/>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spans="2:26" s="46" customFormat="1" ht="15" customHeight="1">
      <c r="B187" s="147"/>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2:26" s="46" customFormat="1" ht="15" customHeight="1">
      <c r="B188" s="147"/>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spans="2:26" s="46" customFormat="1" ht="15" customHeight="1">
      <c r="B189" s="147"/>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2:26" s="46" customFormat="1" ht="15" customHeight="1">
      <c r="B190" s="147"/>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spans="2:26" s="46" customFormat="1" ht="15" customHeight="1">
      <c r="B191" s="147"/>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2:26" s="46" customFormat="1" ht="15" customHeight="1">
      <c r="B192" s="147"/>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spans="2:26" s="46" customFormat="1" ht="15" customHeight="1">
      <c r="B193" s="147"/>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2:26" s="46" customFormat="1" ht="15" customHeight="1">
      <c r="B194" s="147"/>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spans="2:26" s="46" customFormat="1" ht="15" customHeight="1">
      <c r="B195" s="147"/>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2:26" s="46" customFormat="1" ht="15" customHeight="1">
      <c r="B196" s="147"/>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spans="2:26" s="46" customFormat="1" ht="15" customHeight="1">
      <c r="B197" s="147"/>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2:26" s="46" customFormat="1" ht="15" customHeight="1">
      <c r="B198" s="147"/>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spans="2:26" s="46" customFormat="1" ht="15" customHeight="1">
      <c r="B199" s="147"/>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spans="2:26" s="46" customFormat="1" ht="15" customHeight="1">
      <c r="B200" s="147"/>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2:26" s="46" customFormat="1" ht="15" customHeight="1">
      <c r="B201" s="147"/>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spans="2:26" s="46" customFormat="1" ht="15" customHeight="1">
      <c r="B202" s="147"/>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spans="2:26" s="46" customFormat="1" ht="15" customHeight="1">
      <c r="B203" s="147"/>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spans="2:26" s="46" customFormat="1" ht="15" customHeight="1">
      <c r="B204" s="147"/>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spans="2:26" s="46" customFormat="1" ht="15" customHeight="1">
      <c r="B205" s="147"/>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spans="2:26" s="46" customFormat="1" ht="15" customHeight="1">
      <c r="B206" s="147"/>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spans="2:26" s="46" customFormat="1" ht="15" customHeight="1">
      <c r="B207" s="147"/>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spans="2:26" s="46" customFormat="1" ht="15" customHeight="1">
      <c r="B208" s="147"/>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spans="2:26" s="46" customFormat="1" ht="15" customHeight="1">
      <c r="B209" s="147"/>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2:26" s="46" customFormat="1" ht="15" customHeight="1">
      <c r="B210" s="147"/>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spans="2:26" s="46" customFormat="1" ht="15" customHeight="1">
      <c r="B211" s="147"/>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spans="2:26" s="46" customFormat="1" ht="15" customHeight="1">
      <c r="B212" s="147"/>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spans="2:26" s="46" customFormat="1" ht="15" customHeight="1">
      <c r="B213" s="147"/>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spans="2:26" s="46" customFormat="1" ht="15" customHeight="1">
      <c r="B214" s="147"/>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spans="2:26" s="46" customFormat="1" ht="15" customHeight="1">
      <c r="B215" s="147"/>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spans="2:26" s="46" customFormat="1" ht="15" customHeight="1">
      <c r="B216" s="147"/>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2:26" s="46" customFormat="1" ht="15" customHeight="1">
      <c r="B217" s="147"/>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spans="2:26" s="46" customFormat="1" ht="15" customHeight="1">
      <c r="B218" s="147"/>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spans="2:26" s="46" customFormat="1" ht="15" customHeight="1">
      <c r="B219" s="147"/>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spans="2:26" s="46" customFormat="1" ht="15" customHeight="1">
      <c r="B220" s="147"/>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spans="2:26" s="46" customFormat="1" ht="15" customHeight="1">
      <c r="B221" s="147"/>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spans="2:26" s="46" customFormat="1" ht="15" customHeight="1">
      <c r="B222" s="147"/>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spans="2:26" s="46" customFormat="1" ht="15" customHeight="1">
      <c r="B223" s="147"/>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spans="2:26" s="46" customFormat="1" ht="15" customHeight="1">
      <c r="B224" s="147"/>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spans="2:26" s="46" customFormat="1" ht="15" customHeight="1">
      <c r="B225" s="147"/>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spans="2:26" s="46" customFormat="1" ht="15" customHeight="1">
      <c r="B226" s="147"/>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spans="2:26" s="46" customFormat="1" ht="15" customHeight="1">
      <c r="B227" s="147"/>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spans="2:26" s="46" customFormat="1" ht="15" customHeight="1">
      <c r="B228" s="147"/>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spans="2:26" s="46" customFormat="1" ht="15" customHeight="1">
      <c r="B229" s="147"/>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spans="2:26" s="46" customFormat="1" ht="15" customHeight="1">
      <c r="B230" s="147"/>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spans="2:26" s="46" customFormat="1" ht="15" customHeight="1">
      <c r="B231" s="147"/>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spans="2:26" s="46" customFormat="1" ht="15" customHeight="1">
      <c r="B232" s="147"/>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spans="2:26" s="46" customFormat="1" ht="15" customHeight="1">
      <c r="B233" s="147"/>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spans="2:26" s="46" customFormat="1" ht="15" customHeight="1">
      <c r="B234" s="147"/>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spans="2:26" s="46" customFormat="1" ht="15" customHeight="1">
      <c r="B235" s="147"/>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spans="2:26" s="46" customFormat="1" ht="15" customHeight="1">
      <c r="B236" s="147"/>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spans="2:26" s="46" customFormat="1" ht="15" customHeight="1">
      <c r="B237" s="147"/>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spans="2:26" s="46" customFormat="1" ht="15" customHeight="1">
      <c r="B238" s="147"/>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spans="2:26" s="46" customFormat="1" ht="15" customHeight="1">
      <c r="B239" s="147"/>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spans="2:26" s="46" customFormat="1" ht="15" customHeight="1">
      <c r="B240" s="147"/>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2:26" s="46" customFormat="1" ht="15" customHeight="1">
      <c r="B241" s="147"/>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spans="2:26" s="46" customFormat="1" ht="15" customHeight="1">
      <c r="B242" s="147"/>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spans="2:26" s="46" customFormat="1" ht="15" customHeight="1">
      <c r="B243" s="147"/>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spans="2:26" s="46" customFormat="1" ht="15" customHeight="1">
      <c r="B244" s="147"/>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spans="2:26" s="46" customFormat="1" ht="15" customHeight="1">
      <c r="B245" s="147"/>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spans="2:26" s="46" customFormat="1" ht="15" customHeight="1">
      <c r="B246" s="147"/>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spans="2:26" s="46" customFormat="1" ht="15" customHeight="1">
      <c r="B247" s="147"/>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spans="2:26" s="46" customFormat="1" ht="15" customHeight="1">
      <c r="B248" s="147"/>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spans="2:26" s="46" customFormat="1" ht="15" customHeight="1">
      <c r="B249" s="147"/>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spans="2:26" s="46" customFormat="1" ht="15" customHeight="1">
      <c r="B250" s="147"/>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spans="2:26" s="46" customFormat="1" ht="15" customHeight="1">
      <c r="B251" s="147"/>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spans="2:26" s="46" customFormat="1" ht="15" customHeight="1">
      <c r="B252" s="147"/>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spans="2:26" s="46" customFormat="1" ht="15" customHeight="1">
      <c r="B253" s="147"/>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spans="2:26" s="46" customFormat="1" ht="15" customHeight="1">
      <c r="B254" s="147"/>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spans="2:26" s="46" customFormat="1" ht="15" customHeight="1">
      <c r="B255" s="147"/>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spans="2:26" s="46" customFormat="1" ht="15" customHeight="1">
      <c r="B256" s="147"/>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spans="2:26" s="46" customFormat="1" ht="15" customHeight="1">
      <c r="B257" s="147"/>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spans="2:26" s="46" customFormat="1" ht="15" customHeight="1">
      <c r="B258" s="147"/>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spans="2:26" s="46" customFormat="1" ht="15" customHeight="1">
      <c r="B259" s="147"/>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spans="2:26" s="46" customFormat="1" ht="15" customHeight="1">
      <c r="B260" s="147"/>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spans="2:26" s="46" customFormat="1" ht="15" customHeight="1">
      <c r="B261" s="147"/>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spans="2:26" s="46" customFormat="1" ht="15" customHeight="1">
      <c r="B262" s="147"/>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spans="2:26" s="46" customFormat="1" ht="15" customHeight="1">
      <c r="B263" s="147"/>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2:26" s="46" customFormat="1" ht="15" customHeight="1">
      <c r="B264" s="147"/>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spans="2:26" s="46" customFormat="1" ht="15" customHeight="1">
      <c r="B265" s="147"/>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2:26" s="46" customFormat="1" ht="15" customHeight="1">
      <c r="B266" s="147"/>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spans="2:26" s="46" customFormat="1" ht="15" customHeight="1">
      <c r="B267" s="147"/>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spans="2:26" s="46" customFormat="1" ht="15" customHeight="1">
      <c r="B268" s="147"/>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spans="2:26" s="46" customFormat="1" ht="15" customHeight="1">
      <c r="B269" s="147"/>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spans="2:26" s="46" customFormat="1" ht="15" customHeight="1">
      <c r="B270" s="147"/>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spans="2:26" s="46" customFormat="1" ht="15" customHeight="1">
      <c r="B271" s="147"/>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spans="2:26" s="46" customFormat="1" ht="15" customHeight="1">
      <c r="B272" s="147"/>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spans="2:26" s="46" customFormat="1" ht="15" customHeight="1">
      <c r="B273" s="147"/>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spans="2:26" s="46" customFormat="1" ht="15" customHeight="1">
      <c r="B274" s="147"/>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spans="2:26" s="46" customFormat="1" ht="15" customHeight="1">
      <c r="B275" s="147"/>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spans="2:26" s="46" customFormat="1" ht="15" customHeight="1">
      <c r="B276" s="147"/>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spans="2:26" s="46" customFormat="1" ht="15" customHeight="1">
      <c r="B277" s="147"/>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spans="2:26" s="46" customFormat="1" ht="15" customHeight="1">
      <c r="B278" s="147"/>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spans="2:26" s="46" customFormat="1" ht="15" customHeight="1">
      <c r="B279" s="147"/>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spans="2:26" s="46" customFormat="1" ht="15" customHeight="1">
      <c r="B280" s="147"/>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spans="2:26" s="46" customFormat="1" ht="15" customHeight="1">
      <c r="B281" s="147"/>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spans="2:26" s="46" customFormat="1" ht="15" customHeight="1">
      <c r="B282" s="147"/>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spans="2:26" s="46" customFormat="1" ht="15" customHeight="1">
      <c r="B283" s="147"/>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spans="2:26" s="46" customFormat="1" ht="15" customHeight="1">
      <c r="B284" s="147"/>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spans="2:26" s="46" customFormat="1" ht="15" customHeight="1">
      <c r="B285" s="147"/>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spans="2:26" s="46" customFormat="1" ht="15" customHeight="1">
      <c r="B286" s="147"/>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spans="2:26" s="46" customFormat="1" ht="15" customHeight="1">
      <c r="B287" s="147"/>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2:26" s="46" customFormat="1" ht="15" customHeight="1">
      <c r="B288" s="147"/>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spans="2:26" s="46" customFormat="1" ht="15" customHeight="1">
      <c r="B289" s="147"/>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2:26" s="46" customFormat="1" ht="15" customHeight="1">
      <c r="B290" s="147"/>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spans="2:26" s="46" customFormat="1" ht="15" customHeight="1">
      <c r="B291" s="147"/>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spans="2:26" s="46" customFormat="1" ht="15" customHeight="1">
      <c r="B292" s="147"/>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spans="2:26" s="46" customFormat="1" ht="15" customHeight="1">
      <c r="B293" s="147"/>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spans="2:26" s="46" customFormat="1" ht="15" customHeight="1">
      <c r="B294" s="147"/>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spans="2:26" s="46" customFormat="1" ht="15" customHeight="1">
      <c r="B295" s="147"/>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spans="2:26" s="46" customFormat="1" ht="15" customHeight="1">
      <c r="B296" s="147"/>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2:26" s="46" customFormat="1" ht="15" customHeight="1">
      <c r="B297" s="147"/>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spans="2:26" s="46" customFormat="1" ht="15" customHeight="1">
      <c r="B298" s="147"/>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2:26" s="46" customFormat="1" ht="15" customHeight="1">
      <c r="B299" s="147"/>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spans="2:26" s="46" customFormat="1" ht="15" customHeight="1">
      <c r="B300" s="147"/>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spans="2:26" s="46" customFormat="1" ht="15" customHeight="1">
      <c r="B301" s="147"/>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spans="2:26" s="46" customFormat="1" ht="15" customHeight="1">
      <c r="B302" s="147"/>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spans="2:26" s="46" customFormat="1" ht="15" customHeight="1">
      <c r="B303" s="147"/>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spans="2:26" s="46" customFormat="1" ht="15" customHeight="1">
      <c r="B304" s="147"/>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spans="2:26" s="46" customFormat="1" ht="15" customHeight="1">
      <c r="B305" s="147"/>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spans="2:26" s="46" customFormat="1" ht="15" customHeight="1">
      <c r="B306" s="147"/>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2:26" s="46" customFormat="1" ht="15" customHeight="1">
      <c r="B307" s="147"/>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spans="2:26" s="46" customFormat="1" ht="15" customHeight="1">
      <c r="B308" s="147"/>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spans="2:26" s="46" customFormat="1" ht="15" customHeight="1">
      <c r="B309" s="147"/>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spans="2:26" s="46" customFormat="1" ht="15" customHeight="1">
      <c r="B310" s="147"/>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2:26" s="46" customFormat="1" ht="15" customHeight="1">
      <c r="B311" s="147"/>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spans="2:26" s="46" customFormat="1" ht="15" customHeight="1">
      <c r="B312" s="147"/>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2:26" s="46" customFormat="1" ht="15" customHeight="1">
      <c r="B313" s="147"/>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2:26" s="46" customFormat="1" ht="15" customHeight="1">
      <c r="B314" s="147"/>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2:26" s="46" customFormat="1" ht="15" customHeight="1">
      <c r="B315" s="147"/>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spans="2:26" s="46" customFormat="1" ht="15" customHeight="1">
      <c r="B316" s="147"/>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spans="2:26" s="46" customFormat="1" ht="15" customHeight="1">
      <c r="B317" s="147"/>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2:26" s="46" customFormat="1" ht="15" customHeight="1">
      <c r="B318" s="147"/>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spans="2:26" s="46" customFormat="1" ht="15" customHeight="1">
      <c r="B319" s="147"/>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spans="2:26" s="46" customFormat="1" ht="15" customHeight="1">
      <c r="B320" s="147"/>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spans="2:26" s="46" customFormat="1" ht="15" customHeight="1">
      <c r="B321" s="147"/>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spans="2:26" s="46" customFormat="1" ht="15" customHeight="1">
      <c r="B322" s="147"/>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spans="2:26" s="46" customFormat="1" ht="15" customHeight="1">
      <c r="B323" s="147"/>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spans="2:26" s="46" customFormat="1" ht="15" customHeight="1">
      <c r="B324" s="147"/>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spans="2:26" s="46" customFormat="1" ht="15" customHeight="1">
      <c r="B325" s="147"/>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spans="2:26" s="46" customFormat="1" ht="15" customHeight="1">
      <c r="B326" s="147"/>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spans="2:26" s="46" customFormat="1" ht="15" customHeight="1">
      <c r="B327" s="147"/>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spans="2:26" s="46" customFormat="1" ht="15" customHeight="1">
      <c r="B328" s="147"/>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spans="2:26" s="46" customFormat="1" ht="15" customHeight="1">
      <c r="B329" s="147"/>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2:26" s="46" customFormat="1" ht="15" customHeight="1">
      <c r="B330" s="147"/>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spans="2:26" s="46" customFormat="1" ht="15" customHeight="1">
      <c r="B331" s="147"/>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2:26" s="46" customFormat="1" ht="15" customHeight="1">
      <c r="B332" s="147"/>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spans="2:26" s="46" customFormat="1" ht="15" customHeight="1">
      <c r="B333" s="147"/>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2:26" s="46" customFormat="1" ht="15" customHeight="1">
      <c r="B334" s="147"/>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spans="2:26" s="46" customFormat="1" ht="15" customHeight="1">
      <c r="B335" s="147"/>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2:26" s="46" customFormat="1" ht="15" customHeight="1">
      <c r="B336" s="147"/>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spans="2:26" s="46" customFormat="1" ht="15" customHeight="1">
      <c r="B337" s="147"/>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2:26" s="46" customFormat="1" ht="15" customHeight="1">
      <c r="B338" s="147"/>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spans="2:26" s="46" customFormat="1" ht="15" customHeight="1">
      <c r="B339" s="147"/>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2:26" s="46" customFormat="1" ht="15" customHeight="1">
      <c r="B340" s="147"/>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spans="2:26" s="46" customFormat="1" ht="15" customHeight="1">
      <c r="B341" s="147"/>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2:26" s="46" customFormat="1" ht="15" customHeight="1">
      <c r="B342" s="147"/>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spans="2:26" s="46" customFormat="1" ht="15" customHeight="1">
      <c r="B343" s="147"/>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2:26" s="46" customFormat="1" ht="15" customHeight="1">
      <c r="B344" s="147"/>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spans="2:26" s="46" customFormat="1" ht="15" customHeight="1">
      <c r="B345" s="147"/>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2:26" s="46" customFormat="1" ht="15" customHeight="1">
      <c r="B346" s="147"/>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spans="2:26" s="46" customFormat="1" ht="15" customHeight="1">
      <c r="B347" s="147"/>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2:26" s="46" customFormat="1" ht="15" customHeight="1">
      <c r="B348" s="147"/>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spans="2:26" s="46" customFormat="1" ht="15" customHeight="1">
      <c r="B349" s="147"/>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2:26" s="46" customFormat="1" ht="15" customHeight="1">
      <c r="B350" s="147"/>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spans="2:26" s="46" customFormat="1" ht="15" customHeight="1">
      <c r="B351" s="147"/>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2:26" s="46" customFormat="1" ht="15" customHeight="1">
      <c r="B352" s="147"/>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spans="2:26" s="46" customFormat="1" ht="15" customHeight="1">
      <c r="B353" s="147"/>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spans="2:26" s="46" customFormat="1" ht="15" customHeight="1">
      <c r="B354" s="147"/>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spans="2:26" s="46" customFormat="1" ht="15" customHeight="1">
      <c r="B355" s="147"/>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spans="2:26" s="46" customFormat="1" ht="15" customHeight="1">
      <c r="B356" s="147"/>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spans="2:26" s="46" customFormat="1" ht="15" customHeight="1">
      <c r="B357" s="147"/>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2:26" s="46" customFormat="1" ht="15" customHeight="1">
      <c r="B358" s="147"/>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spans="2:26" s="46" customFormat="1" ht="15" customHeight="1">
      <c r="B359" s="147"/>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spans="2:26" s="46" customFormat="1" ht="15" customHeight="1">
      <c r="B360" s="147"/>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spans="2:26" s="46" customFormat="1" ht="15" customHeight="1">
      <c r="B361" s="147"/>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spans="2:26" s="46" customFormat="1" ht="15" customHeight="1">
      <c r="B362" s="147"/>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spans="2:26" s="46" customFormat="1" ht="15" customHeight="1">
      <c r="B363" s="147"/>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spans="2:26" s="46" customFormat="1" ht="15" customHeight="1">
      <c r="B364" s="147"/>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2:26" s="46" customFormat="1" ht="15" customHeight="1">
      <c r="B365" s="147"/>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spans="2:26" s="46" customFormat="1" ht="15" customHeight="1">
      <c r="B366" s="147"/>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spans="2:26" s="46" customFormat="1" ht="15" customHeight="1">
      <c r="B367" s="147"/>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spans="2:26" s="46" customFormat="1" ht="15" customHeight="1">
      <c r="B368" s="147"/>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spans="2:26" s="46" customFormat="1" ht="15" customHeight="1">
      <c r="B369" s="147"/>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spans="2:26" s="46" customFormat="1" ht="15" customHeight="1">
      <c r="B370" s="147"/>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spans="2:26" s="46" customFormat="1" ht="15" customHeight="1">
      <c r="B371" s="147"/>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spans="2:26" s="46" customFormat="1" ht="15" customHeight="1">
      <c r="B372" s="147"/>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spans="2:26" s="46" customFormat="1" ht="15" customHeight="1">
      <c r="B373" s="147"/>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spans="2:26" s="46" customFormat="1" ht="15" customHeight="1">
      <c r="B374" s="147"/>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spans="2:26" s="46" customFormat="1" ht="15" customHeight="1">
      <c r="B375" s="147"/>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spans="2:26" s="46" customFormat="1" ht="15" customHeight="1">
      <c r="B376" s="147"/>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spans="2:26" s="46" customFormat="1" ht="15" customHeight="1">
      <c r="B377" s="147"/>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spans="2:26" s="46" customFormat="1" ht="15" customHeight="1">
      <c r="B378" s="147"/>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spans="2:26" s="46" customFormat="1" ht="15" customHeight="1">
      <c r="B379" s="147"/>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spans="2:26" s="46" customFormat="1" ht="15" customHeight="1">
      <c r="B380" s="147"/>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spans="2:26" s="46" customFormat="1" ht="15" customHeight="1">
      <c r="B381" s="147"/>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spans="2:26" s="46" customFormat="1" ht="15" customHeight="1">
      <c r="B382" s="147"/>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spans="2:26" s="46" customFormat="1" ht="15" customHeight="1">
      <c r="B383" s="147"/>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spans="2:26" s="46" customFormat="1" ht="15" customHeight="1">
      <c r="B384" s="147"/>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spans="2:26" s="46" customFormat="1" ht="15" customHeight="1">
      <c r="B385" s="147"/>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spans="2:26" s="46" customFormat="1" ht="15" customHeight="1">
      <c r="B386" s="147"/>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2:26" s="46" customFormat="1" ht="15" customHeight="1">
      <c r="B387" s="147"/>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spans="2:26" s="46" customFormat="1" ht="15" customHeight="1">
      <c r="B388" s="147"/>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spans="2:26" s="46" customFormat="1" ht="15" customHeight="1">
      <c r="B389" s="147"/>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spans="2:26" s="46" customFormat="1" ht="15" customHeight="1">
      <c r="B390" s="147"/>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spans="2:26" s="46" customFormat="1" ht="15" customHeight="1">
      <c r="B391" s="147"/>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spans="2:26" s="46" customFormat="1" ht="15" customHeight="1">
      <c r="B392" s="147"/>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spans="2:26" s="46" customFormat="1" ht="15" customHeight="1">
      <c r="B393" s="147"/>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2:26" s="46" customFormat="1" ht="15" customHeight="1">
      <c r="B394" s="147"/>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spans="2:26" s="46" customFormat="1" ht="15" customHeight="1">
      <c r="B395" s="147"/>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spans="2:26" s="46" customFormat="1" ht="15" customHeight="1">
      <c r="B396" s="147"/>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spans="2:26" s="46" customFormat="1" ht="15" customHeight="1">
      <c r="B397" s="147"/>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spans="2:26" s="46" customFormat="1" ht="15" customHeight="1">
      <c r="B398" s="147"/>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spans="2:26" s="46" customFormat="1" ht="15" customHeight="1">
      <c r="B399" s="147"/>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2:26" s="46" customFormat="1" ht="15" customHeight="1">
      <c r="B400" s="147"/>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spans="2:26" s="46" customFormat="1" ht="15" customHeight="1">
      <c r="B401" s="147"/>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2:26" s="46" customFormat="1" ht="15" customHeight="1">
      <c r="B402" s="147"/>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spans="2:26" s="46" customFormat="1" ht="15" customHeight="1">
      <c r="B403" s="147"/>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2:26" s="46" customFormat="1" ht="15" customHeight="1">
      <c r="B404" s="147"/>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spans="2:26" s="46" customFormat="1" ht="15" customHeight="1">
      <c r="B405" s="147"/>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spans="2:26" s="46" customFormat="1" ht="15" customHeight="1">
      <c r="B406" s="147"/>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2:26" s="46" customFormat="1" ht="15" customHeight="1">
      <c r="B407" s="147"/>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spans="2:26" s="46" customFormat="1" ht="15" customHeight="1">
      <c r="B408" s="147"/>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spans="2:26" s="46" customFormat="1" ht="15" customHeight="1">
      <c r="B409" s="147"/>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spans="2:26" s="46" customFormat="1" ht="15" customHeight="1">
      <c r="B410" s="147"/>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spans="2:26" s="46" customFormat="1" ht="15" customHeight="1">
      <c r="B411" s="147"/>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spans="2:26" s="46" customFormat="1" ht="15" customHeight="1">
      <c r="B412" s="147"/>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2:26" s="46" customFormat="1" ht="15" customHeight="1">
      <c r="B413" s="147"/>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spans="2:26" s="46" customFormat="1" ht="15" customHeight="1">
      <c r="B414" s="147"/>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spans="2:26" s="46" customFormat="1" ht="15" customHeight="1">
      <c r="B415" s="147"/>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spans="2:26" s="46" customFormat="1" ht="15" customHeight="1">
      <c r="B416" s="147"/>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spans="2:26" s="46" customFormat="1" ht="15" customHeight="1">
      <c r="B417" s="147"/>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spans="2:26" s="46" customFormat="1" ht="15" customHeight="1">
      <c r="B418" s="147"/>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spans="2:26" s="46" customFormat="1" ht="15" customHeight="1">
      <c r="B419" s="147"/>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2:26" s="46" customFormat="1" ht="15" customHeight="1">
      <c r="B420" s="147"/>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spans="2:26" s="46" customFormat="1" ht="15" customHeight="1">
      <c r="B421" s="147"/>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spans="2:26" s="46" customFormat="1" ht="15" customHeight="1">
      <c r="B422" s="147"/>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spans="2:26" s="46" customFormat="1" ht="15" customHeight="1">
      <c r="B423" s="147"/>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spans="2:26" s="46" customFormat="1" ht="15" customHeight="1">
      <c r="B424" s="147"/>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spans="2:26" s="46" customFormat="1" ht="15" customHeight="1">
      <c r="B425" s="147"/>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spans="2:26" s="46" customFormat="1" ht="15" customHeight="1">
      <c r="B426" s="147"/>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spans="2:26" s="46" customFormat="1" ht="15" customHeight="1">
      <c r="B427" s="147"/>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spans="2:26" s="46" customFormat="1" ht="15" customHeight="1">
      <c r="B428" s="147"/>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spans="2:26" s="46" customFormat="1" ht="15" customHeight="1">
      <c r="B429" s="147"/>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spans="2:26" s="46" customFormat="1" ht="15" customHeight="1">
      <c r="B430" s="147"/>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spans="2:26" s="46" customFormat="1" ht="15" customHeight="1">
      <c r="B431" s="147"/>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spans="2:26" s="46" customFormat="1" ht="15" customHeight="1">
      <c r="B432" s="147"/>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2:26" s="46" customFormat="1" ht="15" customHeight="1">
      <c r="B433" s="147"/>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spans="2:26" s="46" customFormat="1" ht="15" customHeight="1">
      <c r="B434" s="147"/>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2:26" s="46" customFormat="1" ht="15" customHeight="1">
      <c r="B435" s="147"/>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spans="2:26" s="46" customFormat="1" ht="15" customHeight="1">
      <c r="B436" s="147"/>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spans="2:26" s="46" customFormat="1" ht="15" customHeight="1">
      <c r="B437" s="147"/>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spans="2:26" s="46" customFormat="1" ht="15" customHeight="1">
      <c r="B438" s="147"/>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spans="2:26" s="46" customFormat="1" ht="15" customHeight="1">
      <c r="B439" s="147"/>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spans="2:26" s="46" customFormat="1" ht="15" customHeight="1">
      <c r="B440" s="147"/>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spans="2:26" s="46" customFormat="1" ht="15" customHeight="1">
      <c r="B441" s="147"/>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2:26" s="46" customFormat="1" ht="15" customHeight="1">
      <c r="B442" s="147"/>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spans="2:26" s="46" customFormat="1" ht="15" customHeight="1">
      <c r="B443" s="147"/>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spans="2:26" s="46" customFormat="1" ht="15" customHeight="1">
      <c r="B444" s="147"/>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spans="2:26" s="46" customFormat="1" ht="15" customHeight="1">
      <c r="B445" s="147"/>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spans="2:26" s="46" customFormat="1" ht="15" customHeight="1">
      <c r="B446" s="147"/>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spans="2:26" s="46" customFormat="1" ht="15" customHeight="1">
      <c r="B447" s="147"/>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spans="2:26" s="46" customFormat="1" ht="15" customHeight="1">
      <c r="B448" s="147"/>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2:26" s="46" customFormat="1" ht="15" customHeight="1">
      <c r="B449" s="147"/>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spans="2:26" s="46" customFormat="1" ht="15" customHeight="1">
      <c r="B450" s="147"/>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spans="2:26" s="46" customFormat="1" ht="15" customHeight="1">
      <c r="B451" s="147"/>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spans="2:26" s="46" customFormat="1" ht="15" customHeight="1">
      <c r="B452" s="147"/>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spans="2:26" s="46" customFormat="1" ht="15" customHeight="1">
      <c r="B453" s="147"/>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spans="2:26" s="46" customFormat="1" ht="15" customHeight="1">
      <c r="B454" s="147"/>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2:26" s="46" customFormat="1" ht="15" customHeight="1">
      <c r="B455" s="147"/>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spans="2:26" s="46" customFormat="1" ht="15" customHeight="1">
      <c r="B456" s="147"/>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spans="2:26" s="46" customFormat="1" ht="15" customHeight="1">
      <c r="B457" s="147"/>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spans="2:26" s="46" customFormat="1" ht="15" customHeight="1">
      <c r="B458" s="147"/>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spans="2:26" s="46" customFormat="1" ht="15" customHeight="1">
      <c r="B459" s="147"/>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spans="2:26" s="46" customFormat="1" ht="15" customHeight="1">
      <c r="B460" s="147"/>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spans="2:26" s="46" customFormat="1" ht="15" customHeight="1">
      <c r="B461" s="147"/>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2:26" s="46" customFormat="1" ht="15" customHeight="1">
      <c r="B462" s="147"/>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spans="2:26" s="46" customFormat="1" ht="15" customHeight="1">
      <c r="B463" s="147"/>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spans="2:26" s="46" customFormat="1" ht="15" customHeight="1">
      <c r="B464" s="147"/>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spans="2:26" s="46" customFormat="1" ht="15" customHeight="1">
      <c r="B465" s="147"/>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spans="2:26" s="46" customFormat="1" ht="15" customHeight="1">
      <c r="B466" s="147"/>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spans="2:26" s="46" customFormat="1" ht="15" customHeight="1">
      <c r="B467" s="147"/>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spans="2:26" s="46" customFormat="1" ht="15" customHeight="1">
      <c r="B468" s="147"/>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2:26" s="46" customFormat="1" ht="15" customHeight="1">
      <c r="B469" s="147"/>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spans="2:26" s="46" customFormat="1" ht="15" customHeight="1">
      <c r="B470" s="147"/>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spans="2:26" s="46" customFormat="1" ht="15" customHeight="1">
      <c r="B471" s="147"/>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spans="2:26" s="46" customFormat="1" ht="15" customHeight="1">
      <c r="B472" s="147"/>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2:26" s="46" customFormat="1" ht="15" customHeight="1">
      <c r="B473" s="147"/>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spans="2:26" s="46" customFormat="1" ht="15" customHeight="1">
      <c r="B474" s="147"/>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spans="2:26" s="46" customFormat="1" ht="15" customHeight="1">
      <c r="B475" s="147"/>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2:26" s="46" customFormat="1" ht="15" customHeight="1">
      <c r="B476" s="147"/>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spans="2:26" s="46" customFormat="1" ht="15" customHeight="1">
      <c r="B477" s="147"/>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spans="2:26" s="46" customFormat="1" ht="15" customHeight="1">
      <c r="B478" s="147"/>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spans="2:26" s="46" customFormat="1" ht="15" customHeight="1">
      <c r="B479" s="147"/>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spans="2:26" s="46" customFormat="1" ht="15" customHeight="1">
      <c r="B480" s="147"/>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2:26" s="46" customFormat="1" ht="15" customHeight="1">
      <c r="B481" s="147"/>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spans="2:26" s="46" customFormat="1" ht="15" customHeight="1">
      <c r="B482" s="147"/>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spans="2:26" s="46" customFormat="1" ht="15" customHeight="1">
      <c r="B483" s="147"/>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spans="2:26" s="46" customFormat="1" ht="15" customHeight="1">
      <c r="B484" s="147"/>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spans="2:26" s="46" customFormat="1" ht="15" customHeight="1">
      <c r="B485" s="147"/>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spans="2:26" s="46" customFormat="1" ht="15" customHeight="1">
      <c r="B486" s="147"/>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spans="2:26" s="46" customFormat="1" ht="15" customHeight="1">
      <c r="B487" s="147"/>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2:26" s="46" customFormat="1" ht="15" customHeight="1">
      <c r="B488" s="147"/>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spans="2:26" s="46" customFormat="1" ht="15" customHeight="1">
      <c r="B489" s="147"/>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spans="2:26" s="46" customFormat="1" ht="15" customHeight="1">
      <c r="B490" s="147"/>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spans="2:26" s="46" customFormat="1" ht="15" customHeight="1">
      <c r="B491" s="147"/>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spans="2:26" s="46" customFormat="1" ht="15" customHeight="1">
      <c r="B492" s="147"/>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spans="2:26" s="46" customFormat="1" ht="15" customHeight="1">
      <c r="B493" s="147"/>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spans="2:26" s="46" customFormat="1" ht="15" customHeight="1">
      <c r="B494" s="147"/>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spans="2:26" s="46" customFormat="1" ht="15" customHeight="1">
      <c r="B495" s="147"/>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spans="2:26" s="46" customFormat="1" ht="15" customHeight="1">
      <c r="B496" s="147"/>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spans="2:26" s="46" customFormat="1" ht="15" customHeight="1">
      <c r="B497" s="147"/>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spans="2:26" s="46" customFormat="1" ht="15" customHeight="1">
      <c r="B498" s="147"/>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spans="2:26" s="46" customFormat="1" ht="15" customHeight="1">
      <c r="B499" s="147"/>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spans="2:26" s="46" customFormat="1" ht="15" customHeight="1">
      <c r="B500" s="147"/>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spans="2:26" s="46" customFormat="1" ht="15" customHeight="1">
      <c r="B501" s="147"/>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spans="2:26" s="46" customFormat="1" ht="15" customHeight="1">
      <c r="B502" s="147"/>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spans="2:26" s="46" customFormat="1" ht="15" customHeight="1">
      <c r="B503" s="147"/>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spans="2:26" s="46" customFormat="1" ht="15" customHeight="1">
      <c r="B504" s="147"/>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spans="2:26" s="46" customFormat="1" ht="15" customHeight="1">
      <c r="B505" s="147"/>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spans="2:26" s="46" customFormat="1" ht="15" customHeight="1">
      <c r="B506" s="147"/>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spans="2:26" s="46" customFormat="1" ht="15" customHeight="1">
      <c r="B507" s="147"/>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spans="2:26" s="46" customFormat="1" ht="15" customHeight="1">
      <c r="B508" s="147"/>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2:26" s="46" customFormat="1" ht="15" customHeight="1">
      <c r="B509" s="147"/>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spans="2:26" s="46" customFormat="1" ht="15" customHeight="1">
      <c r="B510" s="147"/>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spans="2:26" s="46" customFormat="1" ht="15" customHeight="1">
      <c r="B511" s="147"/>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spans="2:26" s="46" customFormat="1" ht="15" customHeight="1">
      <c r="B512" s="147"/>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spans="2:26" s="46" customFormat="1" ht="15" customHeight="1">
      <c r="B513" s="147"/>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spans="2:26" s="46" customFormat="1" ht="15" customHeight="1">
      <c r="B514" s="147"/>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spans="2:26" s="46" customFormat="1" ht="15" customHeight="1">
      <c r="B515" s="147"/>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2:26" s="46" customFormat="1" ht="15" customHeight="1">
      <c r="B516" s="147"/>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spans="2:26" s="46" customFormat="1" ht="15" customHeight="1">
      <c r="B517" s="147"/>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spans="2:26" s="46" customFormat="1" ht="15" customHeight="1">
      <c r="B518" s="147"/>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spans="2:26" s="46" customFormat="1" ht="15" customHeight="1">
      <c r="B519" s="147"/>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spans="2:26" s="46" customFormat="1" ht="15" customHeight="1">
      <c r="B520" s="147"/>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spans="2:26" s="46" customFormat="1" ht="15" customHeight="1">
      <c r="B521" s="147"/>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spans="2:26" s="46" customFormat="1" ht="15" customHeight="1">
      <c r="B522" s="147"/>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spans="2:26" s="46" customFormat="1" ht="15" customHeight="1">
      <c r="B523" s="147"/>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spans="2:26" s="46" customFormat="1" ht="15" customHeight="1">
      <c r="B524" s="147"/>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spans="2:26" s="46" customFormat="1" ht="15" customHeight="1">
      <c r="B525" s="147"/>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spans="2:26" s="46" customFormat="1" ht="15" customHeight="1">
      <c r="B526" s="147"/>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spans="2:26" s="46" customFormat="1" ht="15" customHeight="1">
      <c r="B527" s="147"/>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spans="2:26" s="46" customFormat="1" ht="15" customHeight="1">
      <c r="B528" s="147"/>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2:26" s="46" customFormat="1" ht="15" customHeight="1">
      <c r="B529" s="147"/>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spans="2:26" s="46" customFormat="1" ht="15" customHeight="1">
      <c r="B530" s="147"/>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spans="2:26" s="46" customFormat="1" ht="15" customHeight="1">
      <c r="B531" s="147"/>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spans="2:26" s="46" customFormat="1" ht="15" customHeight="1">
      <c r="B532" s="147"/>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spans="2:26" s="46" customFormat="1" ht="15" customHeight="1">
      <c r="B533" s="147"/>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spans="2:26" s="46" customFormat="1" ht="15" customHeight="1">
      <c r="B534" s="147"/>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spans="2:26" s="46" customFormat="1" ht="15" customHeight="1">
      <c r="B535" s="147"/>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2:26" s="46" customFormat="1" ht="15" customHeight="1">
      <c r="B536" s="147"/>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spans="2:26" s="46" customFormat="1" ht="15" customHeight="1">
      <c r="B537" s="147"/>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spans="2:26" s="46" customFormat="1" ht="15" customHeight="1">
      <c r="B538" s="147"/>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spans="2:26" s="46" customFormat="1" ht="15" customHeight="1">
      <c r="B539" s="147"/>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spans="2:26" s="46" customFormat="1" ht="15" customHeight="1">
      <c r="B540" s="147"/>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spans="2:26" s="46" customFormat="1" ht="15" customHeight="1">
      <c r="B541" s="147"/>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spans="2:26" s="46" customFormat="1" ht="15" customHeight="1">
      <c r="B542" s="147"/>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2:26" s="46" customFormat="1" ht="15" customHeight="1">
      <c r="B543" s="147"/>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spans="2:26" s="46" customFormat="1" ht="15" customHeight="1">
      <c r="B544" s="147"/>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spans="2:26" s="46" customFormat="1" ht="15" customHeight="1">
      <c r="B545" s="147"/>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spans="2:26" s="46" customFormat="1" ht="15" customHeight="1">
      <c r="B546" s="147"/>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spans="2:26" s="46" customFormat="1" ht="15" customHeight="1">
      <c r="B547" s="147"/>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spans="2:26" s="46" customFormat="1" ht="15" customHeight="1">
      <c r="B548" s="147"/>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spans="2:26" s="46" customFormat="1" ht="15" customHeight="1">
      <c r="B549" s="147"/>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2:26" s="46" customFormat="1" ht="15" customHeight="1">
      <c r="B550" s="147"/>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spans="2:26" s="46" customFormat="1" ht="15" customHeight="1">
      <c r="B551" s="147"/>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spans="2:26" s="46" customFormat="1" ht="15" customHeight="1">
      <c r="B552" s="147"/>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spans="2:26" s="46" customFormat="1" ht="15" customHeight="1">
      <c r="B553" s="147"/>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2:26" s="46" customFormat="1" ht="15" customHeight="1">
      <c r="B554" s="147"/>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spans="2:26" s="46" customFormat="1" ht="15" customHeight="1">
      <c r="B555" s="147"/>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spans="2:26" s="46" customFormat="1" ht="15" customHeight="1">
      <c r="B556" s="147"/>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spans="2:26" s="46" customFormat="1" ht="15" customHeight="1">
      <c r="B557" s="147"/>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spans="2:26" s="46" customFormat="1" ht="15" customHeight="1">
      <c r="B558" s="147"/>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spans="2:26" s="46" customFormat="1" ht="15" customHeight="1">
      <c r="B559" s="147"/>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spans="2:26" s="46" customFormat="1" ht="15" customHeight="1">
      <c r="B560" s="147"/>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2:26" s="46" customFormat="1" ht="15" customHeight="1">
      <c r="B561" s="147"/>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spans="2:26" s="46" customFormat="1" ht="15" customHeight="1">
      <c r="B562" s="147"/>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sheetData>
  <mergeCells count="144">
    <mergeCell ref="B41:K41"/>
    <mergeCell ref="P41:Z41"/>
    <mergeCell ref="C35:K35"/>
    <mergeCell ref="L35:O35"/>
    <mergeCell ref="P35:T35"/>
    <mergeCell ref="U35:Z35"/>
    <mergeCell ref="B36:K36"/>
    <mergeCell ref="P36:Z36"/>
    <mergeCell ref="B37:K37"/>
    <mergeCell ref="L37:O37"/>
    <mergeCell ref="B38:K38"/>
    <mergeCell ref="L38:O38"/>
    <mergeCell ref="P38:Z38"/>
    <mergeCell ref="B39:K39"/>
    <mergeCell ref="P39:Z39"/>
    <mergeCell ref="B40:K40"/>
    <mergeCell ref="L40:O40"/>
    <mergeCell ref="P40:Z40"/>
    <mergeCell ref="P37:Z37"/>
    <mergeCell ref="B32:K32"/>
    <mergeCell ref="L32:O32"/>
    <mergeCell ref="P32:T32"/>
    <mergeCell ref="U32:Z32"/>
    <mergeCell ref="C33:K33"/>
    <mergeCell ref="L33:O33"/>
    <mergeCell ref="P33:T33"/>
    <mergeCell ref="U33:Z33"/>
    <mergeCell ref="C34:K34"/>
    <mergeCell ref="C26:K26"/>
    <mergeCell ref="L26:O26"/>
    <mergeCell ref="P26:T26"/>
    <mergeCell ref="U26:Z26"/>
    <mergeCell ref="C27:K27"/>
    <mergeCell ref="L34:O34"/>
    <mergeCell ref="P34:T34"/>
    <mergeCell ref="U34:Z34"/>
    <mergeCell ref="C29:K29"/>
    <mergeCell ref="L29:O29"/>
    <mergeCell ref="P29:T29"/>
    <mergeCell ref="U29:Z29"/>
    <mergeCell ref="C30:K30"/>
    <mergeCell ref="L30:O30"/>
    <mergeCell ref="P30:T30"/>
    <mergeCell ref="L27:O27"/>
    <mergeCell ref="P27:T27"/>
    <mergeCell ref="U27:Z27"/>
    <mergeCell ref="B28:K28"/>
    <mergeCell ref="L28:O28"/>
    <mergeCell ref="P28:T28"/>
    <mergeCell ref="U28:Z28"/>
    <mergeCell ref="U30:Z30"/>
    <mergeCell ref="C31:K31"/>
    <mergeCell ref="L31:O31"/>
    <mergeCell ref="P31:T31"/>
    <mergeCell ref="U31:Z31"/>
    <mergeCell ref="P22:T22"/>
    <mergeCell ref="U22:Z22"/>
    <mergeCell ref="P17:T17"/>
    <mergeCell ref="U17:Z17"/>
    <mergeCell ref="C25:K25"/>
    <mergeCell ref="L25:O25"/>
    <mergeCell ref="P25:T25"/>
    <mergeCell ref="U25:Z25"/>
    <mergeCell ref="C20:K20"/>
    <mergeCell ref="L20:O20"/>
    <mergeCell ref="P20:T20"/>
    <mergeCell ref="U20:Z20"/>
    <mergeCell ref="C21:K21"/>
    <mergeCell ref="L21:O21"/>
    <mergeCell ref="C23:K23"/>
    <mergeCell ref="L23:O23"/>
    <mergeCell ref="P23:T23"/>
    <mergeCell ref="U23:Z23"/>
    <mergeCell ref="C24:K24"/>
    <mergeCell ref="L24:O24"/>
    <mergeCell ref="P24:T24"/>
    <mergeCell ref="U24:Z24"/>
    <mergeCell ref="C18:K18"/>
    <mergeCell ref="L18:O18"/>
    <mergeCell ref="P18:T18"/>
    <mergeCell ref="U18:Z18"/>
    <mergeCell ref="C19:K19"/>
    <mergeCell ref="L19:O19"/>
    <mergeCell ref="P19:T19"/>
    <mergeCell ref="U19:Z19"/>
    <mergeCell ref="P21:T21"/>
    <mergeCell ref="U21:Z21"/>
    <mergeCell ref="C11:K11"/>
    <mergeCell ref="L11:O11"/>
    <mergeCell ref="P11:T11"/>
    <mergeCell ref="U11:Z11"/>
    <mergeCell ref="B12:K12"/>
    <mergeCell ref="L12:O12"/>
    <mergeCell ref="C14:K14"/>
    <mergeCell ref="L14:O14"/>
    <mergeCell ref="P14:T14"/>
    <mergeCell ref="U14:Z14"/>
    <mergeCell ref="P12:T12"/>
    <mergeCell ref="U12:Z12"/>
    <mergeCell ref="C13:K13"/>
    <mergeCell ref="L13:O13"/>
    <mergeCell ref="P13:T13"/>
    <mergeCell ref="U13:Z13"/>
    <mergeCell ref="C16:K16"/>
    <mergeCell ref="L16:O16"/>
    <mergeCell ref="P16:T16"/>
    <mergeCell ref="U16:Z16"/>
    <mergeCell ref="C15:K15"/>
    <mergeCell ref="L15:O15"/>
    <mergeCell ref="P15:T15"/>
    <mergeCell ref="U15:Z15"/>
    <mergeCell ref="C5:K5"/>
    <mergeCell ref="L5:O5"/>
    <mergeCell ref="P5:T5"/>
    <mergeCell ref="U5:Z5"/>
    <mergeCell ref="C6:K6"/>
    <mergeCell ref="L6:O6"/>
    <mergeCell ref="B8:K8"/>
    <mergeCell ref="L8:O8"/>
    <mergeCell ref="P8:T8"/>
    <mergeCell ref="U8:Z8"/>
    <mergeCell ref="P6:T6"/>
    <mergeCell ref="U6:Z6"/>
    <mergeCell ref="C7:K7"/>
    <mergeCell ref="L7:O7"/>
    <mergeCell ref="P7:T7"/>
    <mergeCell ref="U7:Z7"/>
    <mergeCell ref="C10:K10"/>
    <mergeCell ref="L10:O10"/>
    <mergeCell ref="P10:T10"/>
    <mergeCell ref="U10:Z10"/>
    <mergeCell ref="C9:K9"/>
    <mergeCell ref="L9:O9"/>
    <mergeCell ref="P9:T9"/>
    <mergeCell ref="U9:Z9"/>
    <mergeCell ref="B1:Z1"/>
    <mergeCell ref="B3:K3"/>
    <mergeCell ref="L3:O3"/>
    <mergeCell ref="P3:T3"/>
    <mergeCell ref="U3:Z3"/>
    <mergeCell ref="B4:K4"/>
    <mergeCell ref="L4:O4"/>
    <mergeCell ref="P4:T4"/>
    <mergeCell ref="U4:Z4"/>
  </mergeCells>
  <pageMargins left="0.511811023622047" right="0.511811023622047" top="0.55118110236220497" bottom="0.55118110236220497" header="0.31496062992126" footer="0.31496062992126"/>
  <pageSetup paperSize="9" scale="8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1454817346722"/>
    <pageSetUpPr fitToPage="1"/>
  </sheetPr>
  <dimension ref="A1:Q528"/>
  <sheetViews>
    <sheetView showGridLines="0" workbookViewId="0">
      <selection activeCell="D21" sqref="D21"/>
    </sheetView>
  </sheetViews>
  <sheetFormatPr baseColWidth="10" defaultColWidth="11.44140625" defaultRowHeight="14.4"/>
  <cols>
    <col min="1" max="1" width="3.109375" style="46" customWidth="1"/>
    <col min="2" max="2" width="4.88671875" style="47" customWidth="1"/>
    <col min="3" max="3" width="45.33203125" style="48" customWidth="1"/>
    <col min="4" max="6" width="5.6640625" style="48" customWidth="1"/>
    <col min="7" max="7" width="7.33203125" style="48" customWidth="1"/>
    <col min="8" max="9" width="5.6640625" style="48" customWidth="1"/>
    <col min="10" max="10" width="6.44140625" style="48" customWidth="1"/>
    <col min="11" max="17" width="5.6640625" style="48" customWidth="1"/>
    <col min="18" max="20" width="3.33203125" style="48" customWidth="1"/>
    <col min="21" max="16384" width="11.44140625" style="48"/>
  </cols>
  <sheetData>
    <row r="1" spans="2:17" ht="15" customHeight="1">
      <c r="B1" s="563" t="s">
        <v>94</v>
      </c>
      <c r="C1" s="563"/>
      <c r="D1" s="563"/>
      <c r="E1" s="563"/>
      <c r="F1" s="563"/>
      <c r="G1" s="563"/>
      <c r="H1" s="563"/>
      <c r="I1" s="563"/>
      <c r="J1" s="563"/>
      <c r="K1" s="563"/>
      <c r="L1" s="563"/>
      <c r="M1" s="563"/>
      <c r="N1" s="563"/>
      <c r="O1" s="563"/>
      <c r="P1" s="563"/>
      <c r="Q1" s="563"/>
    </row>
    <row r="2" spans="2:17" ht="3.75" customHeight="1">
      <c r="B2" s="49"/>
      <c r="C2" s="50"/>
      <c r="D2" s="50"/>
      <c r="E2" s="50"/>
      <c r="F2" s="50"/>
      <c r="G2" s="50"/>
      <c r="H2" s="50"/>
      <c r="I2" s="50"/>
      <c r="J2" s="50"/>
      <c r="K2" s="50"/>
      <c r="L2" s="50"/>
      <c r="M2" s="50"/>
      <c r="N2" s="50"/>
      <c r="O2" s="50"/>
      <c r="P2" s="50"/>
      <c r="Q2" s="50"/>
    </row>
    <row r="3" spans="2:17" ht="22.5" customHeight="1">
      <c r="B3" s="744" t="s">
        <v>95</v>
      </c>
      <c r="C3" s="745"/>
      <c r="D3" s="244"/>
      <c r="E3" s="245"/>
      <c r="F3" s="245"/>
      <c r="G3" s="246"/>
      <c r="H3" s="244"/>
      <c r="I3" s="245"/>
      <c r="J3" s="245"/>
      <c r="K3" s="245"/>
      <c r="L3" s="246"/>
      <c r="M3" s="244"/>
      <c r="N3" s="703" t="s">
        <v>96</v>
      </c>
      <c r="O3" s="703"/>
      <c r="P3" s="703"/>
      <c r="Q3" s="704"/>
    </row>
    <row r="4" spans="2:17" ht="15" customHeight="1">
      <c r="B4" s="51" t="s">
        <v>97</v>
      </c>
      <c r="C4" s="734" t="s">
        <v>98</v>
      </c>
      <c r="D4" s="734"/>
      <c r="E4" s="734"/>
      <c r="F4" s="734"/>
      <c r="G4" s="734"/>
      <c r="H4" s="734"/>
      <c r="I4" s="734"/>
      <c r="J4" s="734"/>
      <c r="K4" s="734"/>
      <c r="L4" s="734"/>
      <c r="M4" s="734"/>
      <c r="N4" s="746">
        <f>'A.1_Tabla Costes Subrogación'!AA132</f>
        <v>3040652.5709760003</v>
      </c>
      <c r="O4" s="746"/>
      <c r="P4" s="746"/>
      <c r="Q4" s="746"/>
    </row>
    <row r="5" spans="2:17" ht="15" customHeight="1">
      <c r="B5" s="51" t="s">
        <v>99</v>
      </c>
      <c r="C5" s="734" t="s">
        <v>100</v>
      </c>
      <c r="D5" s="734"/>
      <c r="E5" s="734"/>
      <c r="F5" s="734"/>
      <c r="G5" s="734"/>
      <c r="H5" s="734"/>
      <c r="I5" s="734"/>
      <c r="J5" s="734"/>
      <c r="K5" s="734"/>
      <c r="L5" s="734"/>
      <c r="M5" s="734"/>
      <c r="N5" s="746">
        <f>'A.2_Tabla Costes Nueva Contr'!Z29</f>
        <v>0</v>
      </c>
      <c r="O5" s="746"/>
      <c r="P5" s="746"/>
      <c r="Q5" s="746"/>
    </row>
    <row r="6" spans="2:17" ht="15" customHeight="1">
      <c r="B6" s="51" t="s">
        <v>101</v>
      </c>
      <c r="C6" s="89" t="s">
        <v>102</v>
      </c>
      <c r="D6" s="747">
        <f>N6/(N4+N5)</f>
        <v>7.0405771136643133E-2</v>
      </c>
      <c r="E6" s="748"/>
      <c r="F6" s="748"/>
      <c r="G6" s="748"/>
      <c r="H6" s="748"/>
      <c r="I6" s="748"/>
      <c r="J6" s="748"/>
      <c r="K6" s="748"/>
      <c r="L6" s="748"/>
      <c r="M6" s="749"/>
      <c r="N6" s="746">
        <f>(J20+J21+J22+J23+J24)*('A.0_Tablas salariales SC'!X32/11)</f>
        <v>214079.4890181818</v>
      </c>
      <c r="O6" s="746"/>
      <c r="P6" s="746"/>
      <c r="Q6" s="746"/>
    </row>
    <row r="7" spans="2:17" ht="15" customHeight="1">
      <c r="B7" s="51" t="s">
        <v>103</v>
      </c>
      <c r="C7" s="89" t="s">
        <v>104</v>
      </c>
      <c r="D7" s="747">
        <v>0.02</v>
      </c>
      <c r="E7" s="748"/>
      <c r="F7" s="748"/>
      <c r="G7" s="748"/>
      <c r="H7" s="748"/>
      <c r="I7" s="748"/>
      <c r="J7" s="748"/>
      <c r="K7" s="748"/>
      <c r="L7" s="748"/>
      <c r="M7" s="749"/>
      <c r="N7" s="746">
        <f>D7*(N5+N4)</f>
        <v>60813.051419520008</v>
      </c>
      <c r="O7" s="746"/>
      <c r="P7" s="746"/>
      <c r="Q7" s="746"/>
    </row>
    <row r="8" spans="2:17" ht="15" customHeight="1">
      <c r="B8" s="51" t="s">
        <v>105</v>
      </c>
      <c r="C8" s="89" t="s">
        <v>106</v>
      </c>
      <c r="D8" s="747">
        <v>0.1</v>
      </c>
      <c r="E8" s="748"/>
      <c r="F8" s="748"/>
      <c r="G8" s="748"/>
      <c r="H8" s="748"/>
      <c r="I8" s="748"/>
      <c r="J8" s="748"/>
      <c r="K8" s="748"/>
      <c r="L8" s="748"/>
      <c r="M8" s="749"/>
      <c r="N8" s="746">
        <f>D8*(N5+N4)</f>
        <v>304065.25709760003</v>
      </c>
      <c r="O8" s="746"/>
      <c r="P8" s="746"/>
      <c r="Q8" s="746"/>
    </row>
    <row r="9" spans="2:17" ht="32.25" customHeight="1">
      <c r="B9" s="217" t="s">
        <v>107</v>
      </c>
      <c r="C9" s="218" t="s">
        <v>108</v>
      </c>
      <c r="D9" s="752" t="s">
        <v>109</v>
      </c>
      <c r="E9" s="753"/>
      <c r="F9" s="752" t="s">
        <v>110</v>
      </c>
      <c r="G9" s="753"/>
      <c r="H9" s="752" t="s">
        <v>111</v>
      </c>
      <c r="I9" s="753"/>
      <c r="J9" s="752" t="s">
        <v>112</v>
      </c>
      <c r="K9" s="753"/>
      <c r="L9" s="752" t="s">
        <v>113</v>
      </c>
      <c r="M9" s="753"/>
      <c r="N9" s="752" t="s">
        <v>114</v>
      </c>
      <c r="O9" s="754"/>
      <c r="P9" s="754"/>
      <c r="Q9" s="753"/>
    </row>
    <row r="10" spans="2:17" ht="15" customHeight="1">
      <c r="B10" s="219"/>
      <c r="C10" s="220" t="s">
        <v>115</v>
      </c>
      <c r="D10" s="760">
        <f>J21+J20+J22+J23</f>
        <v>83</v>
      </c>
      <c r="E10" s="760"/>
      <c r="F10" s="760">
        <v>8</v>
      </c>
      <c r="G10" s="760"/>
      <c r="H10" s="761">
        <v>3</v>
      </c>
      <c r="I10" s="761"/>
      <c r="J10" s="750">
        <f>H10*F10*D10</f>
        <v>1992</v>
      </c>
      <c r="K10" s="750"/>
      <c r="L10" s="751">
        <v>13.59</v>
      </c>
      <c r="M10" s="751"/>
      <c r="N10" s="755">
        <f t="shared" ref="N10:N15" si="0">L10*J10</f>
        <v>27071.279999999999</v>
      </c>
      <c r="O10" s="755"/>
      <c r="P10" s="755"/>
      <c r="Q10" s="755"/>
    </row>
    <row r="11" spans="2:17" ht="15" customHeight="1">
      <c r="B11" s="219"/>
      <c r="C11" s="221" t="s">
        <v>116</v>
      </c>
      <c r="D11" s="756">
        <f>2</f>
        <v>2</v>
      </c>
      <c r="E11" s="756"/>
      <c r="F11" s="756">
        <v>5</v>
      </c>
      <c r="G11" s="756"/>
      <c r="H11" s="757">
        <v>12</v>
      </c>
      <c r="I11" s="757"/>
      <c r="J11" s="758">
        <f>H11*F11*D11</f>
        <v>120</v>
      </c>
      <c r="K11" s="758"/>
      <c r="L11" s="759">
        <v>13.59</v>
      </c>
      <c r="M11" s="759"/>
      <c r="N11" s="746">
        <f t="shared" si="0"/>
        <v>1630.8</v>
      </c>
      <c r="O11" s="746"/>
      <c r="P11" s="746"/>
      <c r="Q11" s="746"/>
    </row>
    <row r="12" spans="2:17" ht="15" customHeight="1">
      <c r="B12" s="219"/>
      <c r="C12" s="220" t="s">
        <v>117</v>
      </c>
      <c r="D12" s="760">
        <v>5</v>
      </c>
      <c r="E12" s="760"/>
      <c r="F12" s="760">
        <v>22</v>
      </c>
      <c r="G12" s="760"/>
      <c r="H12" s="761">
        <v>12</v>
      </c>
      <c r="I12" s="761"/>
      <c r="J12" s="750">
        <f>H12*F12*D12</f>
        <v>1320</v>
      </c>
      <c r="K12" s="750"/>
      <c r="L12" s="751">
        <v>13.59</v>
      </c>
      <c r="M12" s="751"/>
      <c r="N12" s="755">
        <f t="shared" si="0"/>
        <v>17938.8</v>
      </c>
      <c r="O12" s="755"/>
      <c r="P12" s="755"/>
      <c r="Q12" s="755"/>
    </row>
    <row r="13" spans="2:17" ht="15" customHeight="1">
      <c r="B13" s="219"/>
      <c r="C13" s="221" t="s">
        <v>118</v>
      </c>
      <c r="D13" s="756">
        <v>4</v>
      </c>
      <c r="E13" s="756"/>
      <c r="F13" s="756">
        <v>22</v>
      </c>
      <c r="G13" s="756"/>
      <c r="H13" s="757">
        <v>12</v>
      </c>
      <c r="I13" s="757"/>
      <c r="J13" s="758">
        <f>H13*F13*D13</f>
        <v>1056</v>
      </c>
      <c r="K13" s="758"/>
      <c r="L13" s="759">
        <f>('A.0_Tablas salariales SC'!V12/22)*0.25</f>
        <v>14.022727272727273</v>
      </c>
      <c r="M13" s="759"/>
      <c r="N13" s="762">
        <f t="shared" si="0"/>
        <v>14808</v>
      </c>
      <c r="O13" s="762"/>
      <c r="P13" s="762"/>
      <c r="Q13" s="762"/>
    </row>
    <row r="14" spans="2:17" ht="15" customHeight="1">
      <c r="B14" s="219"/>
      <c r="C14" s="220" t="s">
        <v>119</v>
      </c>
      <c r="D14" s="760">
        <v>8</v>
      </c>
      <c r="E14" s="760"/>
      <c r="F14" s="760">
        <v>22</v>
      </c>
      <c r="G14" s="760"/>
      <c r="H14" s="761">
        <v>4</v>
      </c>
      <c r="I14" s="761"/>
      <c r="J14" s="750">
        <f>H14*F14*D14</f>
        <v>704</v>
      </c>
      <c r="K14" s="750"/>
      <c r="L14" s="751">
        <f>('A.0_Tablas salariales SC'!V13/22)*0.25</f>
        <v>14.09715909090909</v>
      </c>
      <c r="M14" s="751"/>
      <c r="N14" s="755">
        <f t="shared" si="0"/>
        <v>9924.4</v>
      </c>
      <c r="O14" s="755"/>
      <c r="P14" s="755"/>
      <c r="Q14" s="755"/>
    </row>
    <row r="15" spans="2:17" ht="15" customHeight="1">
      <c r="B15" s="219"/>
      <c r="C15" s="221" t="s">
        <v>120</v>
      </c>
      <c r="D15" s="765"/>
      <c r="E15" s="765"/>
      <c r="F15" s="765"/>
      <c r="G15" s="765"/>
      <c r="H15" s="766"/>
      <c r="I15" s="766"/>
      <c r="J15" s="758"/>
      <c r="K15" s="758"/>
      <c r="L15" s="759"/>
      <c r="M15" s="759"/>
      <c r="N15" s="746">
        <f t="shared" si="0"/>
        <v>0</v>
      </c>
      <c r="O15" s="746"/>
      <c r="P15" s="746"/>
      <c r="Q15" s="746"/>
    </row>
    <row r="16" spans="2:17" ht="15" customHeight="1">
      <c r="B16" s="219"/>
      <c r="C16" s="222"/>
      <c r="D16" s="223"/>
      <c r="E16" s="224"/>
      <c r="F16" s="224"/>
      <c r="G16" s="224"/>
      <c r="H16" s="225"/>
      <c r="I16" s="225"/>
      <c r="J16" s="225"/>
      <c r="K16" s="225"/>
      <c r="L16" s="225"/>
      <c r="M16" s="225"/>
      <c r="N16" s="714">
        <f>SUM(N10:Q15)</f>
        <v>71373.279999999999</v>
      </c>
      <c r="O16" s="714"/>
      <c r="P16" s="714"/>
      <c r="Q16" s="715"/>
    </row>
    <row r="17" spans="2:17" ht="15" customHeight="1">
      <c r="B17" s="763" t="s">
        <v>121</v>
      </c>
      <c r="C17" s="763"/>
      <c r="D17" s="462"/>
      <c r="E17" s="463"/>
      <c r="F17" s="463"/>
      <c r="G17" s="463"/>
      <c r="H17" s="464"/>
      <c r="I17" s="464"/>
      <c r="J17" s="464"/>
      <c r="K17" s="464"/>
      <c r="L17" s="464"/>
      <c r="M17" s="464"/>
      <c r="N17" s="764">
        <f>N4+N5+N6+N7+N8+N16</f>
        <v>3690983.6485113017</v>
      </c>
      <c r="O17" s="764"/>
      <c r="P17" s="764"/>
      <c r="Q17" s="764"/>
    </row>
    <row r="18" spans="2:17" s="46" customFormat="1" ht="15" customHeight="1">
      <c r="B18" s="47"/>
      <c r="C18" s="48"/>
      <c r="D18" s="48"/>
      <c r="E18" s="48"/>
      <c r="F18" s="48"/>
      <c r="G18" s="48"/>
      <c r="H18" s="48"/>
      <c r="I18" s="48"/>
      <c r="J18" s="48"/>
      <c r="K18" s="48"/>
      <c r="L18" s="48"/>
      <c r="M18" s="48"/>
      <c r="N18" s="48"/>
      <c r="O18" s="48"/>
      <c r="P18" s="48"/>
      <c r="Q18" s="48"/>
    </row>
    <row r="19" spans="2:17" s="46" customFormat="1" ht="15" customHeight="1">
      <c r="B19" s="47"/>
      <c r="C19" s="70" t="s">
        <v>122</v>
      </c>
      <c r="D19" s="226">
        <v>2025</v>
      </c>
      <c r="E19" s="48"/>
      <c r="F19" s="70" t="s">
        <v>123</v>
      </c>
      <c r="G19" s="70"/>
      <c r="H19" s="70"/>
      <c r="I19" s="70"/>
      <c r="J19" s="70" t="s">
        <v>47</v>
      </c>
      <c r="K19" s="48"/>
      <c r="L19" s="48"/>
      <c r="M19" s="48"/>
      <c r="N19" s="48"/>
      <c r="O19" s="48"/>
      <c r="P19" s="48"/>
      <c r="Q19" s="48"/>
    </row>
    <row r="20" spans="2:17" s="46" customFormat="1" ht="15" customHeight="1">
      <c r="B20" s="47"/>
      <c r="C20" s="70" t="s">
        <v>124</v>
      </c>
      <c r="D20" s="226">
        <v>2033</v>
      </c>
      <c r="E20" s="48"/>
      <c r="F20" s="70"/>
      <c r="G20" s="70" t="s">
        <v>125</v>
      </c>
      <c r="H20" s="70"/>
      <c r="I20" s="70"/>
      <c r="J20" s="70">
        <f>SUM('A.1_Tabla Costes Subrogación'!A5:A7)+SUM('A.2_Tabla Costes Nueva Contr'!A5:A6)</f>
        <v>0</v>
      </c>
      <c r="K20" s="48"/>
      <c r="L20" s="48"/>
      <c r="M20" s="48"/>
      <c r="N20" s="48"/>
      <c r="O20" s="48"/>
      <c r="P20" s="48"/>
      <c r="Q20" s="48"/>
    </row>
    <row r="21" spans="2:17" s="46" customFormat="1" ht="15" customHeight="1">
      <c r="B21" s="47"/>
      <c r="C21" s="48"/>
      <c r="D21" s="48"/>
      <c r="E21" s="48"/>
      <c r="F21" s="70"/>
      <c r="G21" s="70" t="s">
        <v>126</v>
      </c>
      <c r="H21" s="70"/>
      <c r="I21" s="70"/>
      <c r="J21" s="70">
        <f>SUM('A.1_Tabla Costes Subrogación'!A9:A64)+SUM('A.2_Tabla Costes Nueva Contr'!A8:A11)</f>
        <v>46</v>
      </c>
      <c r="K21" s="48"/>
      <c r="L21" s="48"/>
      <c r="M21" s="48"/>
      <c r="N21" s="48"/>
      <c r="O21" s="157"/>
      <c r="P21" s="48"/>
      <c r="Q21" s="48"/>
    </row>
    <row r="22" spans="2:17" s="46" customFormat="1" ht="15" customHeight="1">
      <c r="B22" s="47"/>
      <c r="C22" s="48"/>
      <c r="D22" s="48"/>
      <c r="E22" s="48"/>
      <c r="F22" s="70"/>
      <c r="G22" s="70" t="s">
        <v>127</v>
      </c>
      <c r="H22" s="70"/>
      <c r="I22" s="70"/>
      <c r="J22" s="70">
        <f>SUM('A.1_Tabla Costes Subrogación'!A66:A90)+SUM('A.2_Tabla Costes Nueva Contr'!A13:A14)</f>
        <v>18</v>
      </c>
      <c r="K22" s="48"/>
      <c r="L22" s="48"/>
      <c r="M22" s="48"/>
      <c r="N22" s="48"/>
      <c r="O22" s="48"/>
      <c r="P22" s="48"/>
      <c r="Q22" s="48"/>
    </row>
    <row r="23" spans="2:17" s="46" customFormat="1" ht="15" customHeight="1">
      <c r="B23" s="47"/>
      <c r="C23" s="48"/>
      <c r="D23" s="48"/>
      <c r="E23" s="48"/>
      <c r="F23" s="70"/>
      <c r="G23" s="70" t="s">
        <v>128</v>
      </c>
      <c r="H23" s="70"/>
      <c r="I23" s="70"/>
      <c r="J23" s="70">
        <f>SUM('A.1_Tabla Costes Subrogación'!A92:A116)+SUM('A.2_Tabla Costes Nueva Contr'!A16:A20)</f>
        <v>19</v>
      </c>
      <c r="K23" s="48"/>
      <c r="L23" s="48"/>
      <c r="M23" s="48"/>
      <c r="N23" s="48"/>
      <c r="O23" s="48"/>
      <c r="P23" s="48"/>
      <c r="Q23" s="48"/>
    </row>
    <row r="24" spans="2:17" s="46" customFormat="1" ht="15" customHeight="1">
      <c r="B24" s="47"/>
      <c r="C24" s="48"/>
      <c r="D24" s="48"/>
      <c r="E24" s="48"/>
      <c r="F24" s="70"/>
      <c r="G24" s="70" t="s">
        <v>129</v>
      </c>
      <c r="H24" s="70"/>
      <c r="I24" s="70"/>
      <c r="J24" s="70">
        <f>SUM('A.1_Tabla Costes Subrogación'!A118:A122)+'A.2_Tabla Costes Nueva Contr'!A22</f>
        <v>4</v>
      </c>
      <c r="K24" s="48"/>
      <c r="L24" s="48"/>
      <c r="M24" s="48"/>
      <c r="N24" s="48"/>
      <c r="O24" s="48"/>
      <c r="P24" s="48"/>
      <c r="Q24" s="48"/>
    </row>
    <row r="25" spans="2:17" s="46" customFormat="1" ht="15" customHeight="1">
      <c r="B25" s="47"/>
      <c r="C25" s="48"/>
      <c r="D25" s="48"/>
      <c r="E25" s="48"/>
      <c r="F25" s="70"/>
      <c r="G25" s="70" t="s">
        <v>130</v>
      </c>
      <c r="H25" s="70"/>
      <c r="I25" s="70"/>
      <c r="J25" s="70">
        <f>SUM('A.1_Tabla Costes Subrogación'!A124:A127)+SUM('A.2_Tabla Costes Nueva Contr'!A24)</f>
        <v>3</v>
      </c>
      <c r="K25" s="48"/>
      <c r="L25" s="48"/>
      <c r="M25" s="48"/>
      <c r="N25" s="48"/>
      <c r="O25" s="48"/>
      <c r="P25" s="48"/>
      <c r="Q25" s="48"/>
    </row>
    <row r="26" spans="2:17" s="46" customFormat="1" ht="15" customHeight="1">
      <c r="B26" s="47"/>
      <c r="C26" s="48"/>
      <c r="D26" s="48"/>
      <c r="E26" s="48"/>
      <c r="F26" s="70"/>
      <c r="G26" s="70" t="s">
        <v>131</v>
      </c>
      <c r="H26" s="70"/>
      <c r="I26" s="70"/>
      <c r="J26" s="70">
        <f>SUM('A.1_Tabla Costes Subrogación'!A129)+'A.2_Tabla Costes Nueva Contr'!A26</f>
        <v>1</v>
      </c>
      <c r="K26" s="48"/>
      <c r="L26" s="48"/>
      <c r="M26" s="48"/>
      <c r="N26" s="48"/>
      <c r="O26" s="48"/>
      <c r="P26" s="48"/>
      <c r="Q26" s="48"/>
    </row>
    <row r="27" spans="2:17" s="46" customFormat="1" ht="15" customHeight="1">
      <c r="B27" s="47"/>
      <c r="C27" s="48"/>
      <c r="D27" s="48"/>
      <c r="E27" s="48"/>
      <c r="F27" s="70" t="s">
        <v>47</v>
      </c>
      <c r="G27" s="70"/>
      <c r="H27" s="70"/>
      <c r="I27" s="70"/>
      <c r="J27" s="70">
        <f>SUM(J20:J26)</f>
        <v>91</v>
      </c>
      <c r="K27" s="48"/>
      <c r="L27" s="48"/>
      <c r="M27" s="48"/>
      <c r="N27" s="48"/>
      <c r="O27" s="48"/>
      <c r="P27" s="48"/>
      <c r="Q27" s="48"/>
    </row>
    <row r="28" spans="2:17" s="46" customFormat="1" ht="15" customHeight="1">
      <c r="B28" s="47"/>
      <c r="C28" s="48"/>
      <c r="D28" s="48"/>
      <c r="E28" s="48"/>
      <c r="F28" s="48"/>
      <c r="G28" s="48"/>
      <c r="H28" s="48"/>
      <c r="I28" s="48"/>
      <c r="J28" s="48"/>
      <c r="K28" s="48"/>
      <c r="L28" s="48"/>
      <c r="M28" s="48"/>
      <c r="N28" s="48"/>
      <c r="O28" s="48"/>
      <c r="P28" s="48"/>
      <c r="Q28" s="48"/>
    </row>
    <row r="29" spans="2:17" s="46" customFormat="1" ht="15" customHeight="1">
      <c r="B29" s="47"/>
      <c r="C29" s="48"/>
      <c r="D29" s="48"/>
      <c r="E29" s="48"/>
      <c r="F29" s="48"/>
      <c r="G29" s="48"/>
      <c r="H29" s="48"/>
      <c r="I29" s="48"/>
      <c r="J29" s="48"/>
      <c r="K29" s="48"/>
      <c r="L29" s="48"/>
      <c r="M29" s="48"/>
      <c r="N29" s="48"/>
      <c r="O29" s="48"/>
      <c r="P29" s="48"/>
      <c r="Q29" s="48"/>
    </row>
    <row r="30" spans="2:17" s="46" customFormat="1" ht="15" customHeight="1">
      <c r="B30" s="47"/>
      <c r="C30" s="48"/>
      <c r="D30" s="48"/>
      <c r="E30" s="48"/>
      <c r="F30" s="48"/>
      <c r="G30" s="48"/>
      <c r="H30" s="48"/>
      <c r="I30" s="48"/>
      <c r="J30" s="48"/>
      <c r="K30" s="48"/>
      <c r="L30" s="48"/>
      <c r="M30" s="48"/>
      <c r="N30" s="48"/>
      <c r="O30" s="48"/>
      <c r="P30" s="48"/>
      <c r="Q30" s="48"/>
    </row>
    <row r="31" spans="2:17" s="46" customFormat="1" ht="15" customHeight="1">
      <c r="B31" s="47"/>
      <c r="C31" s="48"/>
      <c r="D31" s="48"/>
      <c r="E31" s="48"/>
      <c r="F31" s="48"/>
      <c r="G31" s="48"/>
      <c r="H31" s="48"/>
      <c r="I31" s="48"/>
      <c r="J31" s="48"/>
      <c r="K31" s="48"/>
      <c r="L31" s="48"/>
      <c r="M31" s="48"/>
      <c r="N31" s="48"/>
      <c r="O31" s="48"/>
      <c r="P31" s="48"/>
      <c r="Q31" s="48"/>
    </row>
    <row r="32" spans="2:17" s="46" customFormat="1" ht="15" customHeight="1">
      <c r="B32" s="47"/>
      <c r="C32" s="48"/>
      <c r="D32" s="48"/>
      <c r="E32" s="48"/>
      <c r="F32" s="48"/>
      <c r="G32" s="48"/>
      <c r="H32" s="48"/>
      <c r="I32" s="48"/>
      <c r="J32" s="48"/>
      <c r="K32" s="48"/>
      <c r="L32" s="48"/>
      <c r="M32" s="48"/>
      <c r="N32" s="48"/>
      <c r="O32" s="48"/>
      <c r="P32" s="48"/>
      <c r="Q32" s="48"/>
    </row>
    <row r="33" spans="2:17" s="46" customFormat="1" ht="15" customHeight="1">
      <c r="B33" s="47"/>
      <c r="C33" s="48"/>
      <c r="D33" s="48"/>
      <c r="E33" s="48"/>
      <c r="F33" s="48"/>
      <c r="G33" s="48"/>
      <c r="H33" s="48"/>
      <c r="I33" s="48"/>
      <c r="J33" s="48"/>
      <c r="K33" s="48"/>
      <c r="L33" s="48"/>
      <c r="M33" s="48"/>
      <c r="N33" s="48"/>
      <c r="O33" s="48"/>
      <c r="P33" s="48"/>
      <c r="Q33" s="48"/>
    </row>
    <row r="34" spans="2:17" s="46" customFormat="1" ht="15" customHeight="1">
      <c r="B34" s="47"/>
      <c r="C34" s="48"/>
      <c r="D34" s="48"/>
      <c r="E34" s="48"/>
      <c r="F34" s="48"/>
      <c r="G34" s="48"/>
      <c r="H34" s="48"/>
      <c r="I34" s="48"/>
      <c r="J34" s="48"/>
      <c r="K34" s="48"/>
      <c r="L34" s="48"/>
      <c r="M34" s="48"/>
      <c r="N34" s="48"/>
      <c r="O34" s="48"/>
      <c r="P34" s="48"/>
      <c r="Q34" s="48"/>
    </row>
    <row r="35" spans="2:17" s="46" customFormat="1" ht="15" customHeight="1">
      <c r="B35" s="47"/>
      <c r="C35" s="48"/>
      <c r="D35" s="48"/>
      <c r="E35" s="48"/>
      <c r="F35" s="48"/>
      <c r="G35" s="48"/>
      <c r="H35" s="48"/>
      <c r="I35" s="48"/>
      <c r="J35" s="48"/>
      <c r="K35" s="48"/>
      <c r="L35" s="48"/>
      <c r="M35" s="48"/>
      <c r="N35" s="48"/>
      <c r="O35" s="48"/>
      <c r="P35" s="48"/>
      <c r="Q35" s="48"/>
    </row>
    <row r="36" spans="2:17" s="46" customFormat="1" ht="15" customHeight="1">
      <c r="B36" s="47"/>
      <c r="C36" s="48"/>
      <c r="D36" s="48"/>
      <c r="E36" s="48"/>
      <c r="F36" s="48"/>
      <c r="G36" s="48"/>
      <c r="H36" s="48"/>
      <c r="I36" s="48"/>
      <c r="J36" s="48"/>
      <c r="K36" s="48"/>
      <c r="L36" s="48"/>
      <c r="M36" s="48"/>
      <c r="N36" s="48"/>
      <c r="O36" s="48"/>
      <c r="P36" s="48"/>
      <c r="Q36" s="48"/>
    </row>
    <row r="37" spans="2:17" s="46" customFormat="1" ht="15" customHeight="1">
      <c r="B37" s="47"/>
      <c r="C37" s="48"/>
      <c r="D37" s="48"/>
      <c r="E37" s="48"/>
      <c r="F37" s="48"/>
      <c r="G37" s="48"/>
      <c r="H37" s="48"/>
      <c r="I37" s="48"/>
      <c r="J37" s="48"/>
      <c r="K37" s="48"/>
      <c r="L37" s="48"/>
      <c r="M37" s="48"/>
      <c r="N37" s="48"/>
      <c r="O37" s="48"/>
      <c r="P37" s="48"/>
      <c r="Q37" s="48"/>
    </row>
    <row r="38" spans="2:17" s="46" customFormat="1" ht="15" customHeight="1">
      <c r="B38" s="47"/>
      <c r="C38" s="48"/>
      <c r="D38" s="48"/>
      <c r="E38" s="48"/>
      <c r="F38" s="48"/>
      <c r="G38" s="48"/>
      <c r="H38" s="48"/>
      <c r="I38" s="48"/>
      <c r="J38" s="48"/>
      <c r="K38" s="48"/>
      <c r="L38" s="48"/>
      <c r="M38" s="48"/>
      <c r="N38" s="48"/>
      <c r="O38" s="48"/>
      <c r="P38" s="48"/>
      <c r="Q38" s="48"/>
    </row>
    <row r="39" spans="2:17" s="46" customFormat="1" ht="15" customHeight="1">
      <c r="B39" s="47"/>
      <c r="C39" s="48"/>
      <c r="D39" s="48"/>
      <c r="E39" s="48"/>
      <c r="F39" s="48"/>
      <c r="G39" s="48"/>
      <c r="H39" s="48"/>
      <c r="I39" s="48"/>
      <c r="J39" s="48"/>
      <c r="K39" s="48"/>
      <c r="L39" s="48"/>
      <c r="M39" s="48"/>
      <c r="N39" s="48"/>
      <c r="O39" s="48"/>
      <c r="P39" s="48"/>
      <c r="Q39" s="48"/>
    </row>
    <row r="40" spans="2:17" s="46" customFormat="1" ht="15" customHeight="1">
      <c r="B40" s="47"/>
      <c r="C40" s="48"/>
      <c r="D40" s="48"/>
      <c r="E40" s="48"/>
      <c r="F40" s="48"/>
      <c r="G40" s="48"/>
      <c r="H40" s="48"/>
      <c r="I40" s="48"/>
      <c r="J40" s="48"/>
      <c r="K40" s="48"/>
      <c r="L40" s="48"/>
      <c r="M40" s="48"/>
      <c r="N40" s="48"/>
      <c r="O40" s="48"/>
      <c r="P40" s="48"/>
      <c r="Q40" s="48"/>
    </row>
    <row r="41" spans="2:17" s="46" customFormat="1" ht="15" customHeight="1">
      <c r="B41" s="47"/>
      <c r="C41" s="48"/>
      <c r="D41" s="48"/>
      <c r="E41" s="48"/>
      <c r="F41" s="48"/>
      <c r="G41" s="48"/>
      <c r="H41" s="48"/>
      <c r="I41" s="48"/>
      <c r="J41" s="48"/>
      <c r="K41" s="48"/>
      <c r="L41" s="48"/>
      <c r="M41" s="48"/>
      <c r="N41" s="48"/>
      <c r="O41" s="48"/>
      <c r="P41" s="48"/>
      <c r="Q41" s="48"/>
    </row>
    <row r="42" spans="2:17" s="46" customFormat="1" ht="15" customHeight="1">
      <c r="B42" s="47"/>
      <c r="C42" s="48"/>
      <c r="D42" s="48"/>
      <c r="E42" s="48"/>
      <c r="F42" s="48"/>
      <c r="G42" s="48"/>
      <c r="H42" s="48"/>
      <c r="I42" s="48"/>
      <c r="J42" s="48"/>
      <c r="K42" s="48"/>
      <c r="L42" s="48"/>
      <c r="M42" s="48"/>
      <c r="N42" s="48"/>
      <c r="O42" s="48"/>
      <c r="P42" s="48"/>
      <c r="Q42" s="48"/>
    </row>
    <row r="43" spans="2:17" s="46" customFormat="1" ht="15" customHeight="1">
      <c r="B43" s="47"/>
      <c r="C43" s="48"/>
      <c r="D43" s="48"/>
      <c r="E43" s="48"/>
      <c r="F43" s="48"/>
      <c r="G43" s="48"/>
      <c r="H43" s="48"/>
      <c r="I43" s="48"/>
      <c r="J43" s="48"/>
      <c r="K43" s="48"/>
      <c r="L43" s="48"/>
      <c r="M43" s="48"/>
      <c r="N43" s="48"/>
      <c r="O43" s="48"/>
      <c r="P43" s="48"/>
      <c r="Q43" s="48"/>
    </row>
    <row r="44" spans="2:17" s="46" customFormat="1" ht="15" customHeight="1">
      <c r="B44" s="47"/>
      <c r="C44" s="48"/>
      <c r="D44" s="48"/>
      <c r="E44" s="48"/>
      <c r="F44" s="48"/>
      <c r="G44" s="48"/>
      <c r="H44" s="48"/>
      <c r="I44" s="48"/>
      <c r="J44" s="48"/>
      <c r="K44" s="48"/>
      <c r="L44" s="48"/>
      <c r="M44" s="48"/>
      <c r="N44" s="48"/>
      <c r="O44" s="48"/>
      <c r="P44" s="48"/>
      <c r="Q44" s="48"/>
    </row>
    <row r="45" spans="2:17" s="46" customFormat="1" ht="15" customHeight="1">
      <c r="B45" s="47"/>
      <c r="C45" s="48"/>
      <c r="D45" s="48"/>
      <c r="E45" s="48"/>
      <c r="F45" s="48"/>
      <c r="G45" s="48"/>
      <c r="H45" s="48"/>
      <c r="I45" s="48"/>
      <c r="J45" s="48"/>
      <c r="K45" s="48"/>
      <c r="L45" s="48"/>
      <c r="M45" s="48"/>
      <c r="N45" s="48"/>
      <c r="O45" s="48"/>
      <c r="P45" s="48"/>
      <c r="Q45" s="48"/>
    </row>
    <row r="46" spans="2:17" s="46" customFormat="1" ht="15" customHeight="1">
      <c r="B46" s="47"/>
      <c r="C46" s="48"/>
      <c r="D46" s="48"/>
      <c r="E46" s="48"/>
      <c r="F46" s="48"/>
      <c r="G46" s="48"/>
      <c r="H46" s="48"/>
      <c r="I46" s="48"/>
      <c r="J46" s="48"/>
      <c r="K46" s="48"/>
      <c r="L46" s="48"/>
      <c r="M46" s="48"/>
      <c r="N46" s="48"/>
      <c r="O46" s="48"/>
      <c r="P46" s="48"/>
      <c r="Q46" s="48"/>
    </row>
    <row r="47" spans="2:17" s="46" customFormat="1" ht="15" customHeight="1">
      <c r="B47" s="47"/>
      <c r="C47" s="48"/>
      <c r="D47" s="48"/>
      <c r="E47" s="48"/>
      <c r="F47" s="48"/>
      <c r="G47" s="48"/>
      <c r="H47" s="48"/>
      <c r="I47" s="48"/>
      <c r="J47" s="48"/>
      <c r="K47" s="48"/>
      <c r="L47" s="48"/>
      <c r="M47" s="48"/>
      <c r="N47" s="48"/>
      <c r="O47" s="48"/>
      <c r="P47" s="48"/>
      <c r="Q47" s="48"/>
    </row>
    <row r="48" spans="2:17" s="46" customFormat="1" ht="15" customHeight="1">
      <c r="B48" s="47"/>
      <c r="C48" s="48"/>
      <c r="D48" s="48"/>
      <c r="E48" s="48"/>
      <c r="F48" s="48"/>
      <c r="G48" s="48"/>
      <c r="H48" s="48"/>
      <c r="I48" s="48"/>
      <c r="J48" s="48"/>
      <c r="K48" s="48"/>
      <c r="L48" s="48"/>
      <c r="M48" s="48"/>
      <c r="N48" s="48"/>
      <c r="O48" s="48"/>
      <c r="P48" s="48"/>
      <c r="Q48" s="48"/>
    </row>
    <row r="49" spans="2:17" s="46" customFormat="1" ht="15" customHeight="1">
      <c r="B49" s="47"/>
      <c r="C49" s="48"/>
      <c r="D49" s="48"/>
      <c r="E49" s="48"/>
      <c r="F49" s="48"/>
      <c r="G49" s="48"/>
      <c r="H49" s="48"/>
      <c r="I49" s="48"/>
      <c r="J49" s="48"/>
      <c r="K49" s="48"/>
      <c r="L49" s="48"/>
      <c r="M49" s="48"/>
      <c r="N49" s="48"/>
      <c r="O49" s="48"/>
      <c r="P49" s="48"/>
      <c r="Q49" s="48"/>
    </row>
    <row r="50" spans="2:17" s="46" customFormat="1" ht="15" customHeight="1">
      <c r="B50" s="47"/>
      <c r="C50" s="48"/>
      <c r="D50" s="48"/>
      <c r="E50" s="48"/>
      <c r="F50" s="48"/>
      <c r="G50" s="48"/>
      <c r="H50" s="48"/>
      <c r="I50" s="48"/>
      <c r="J50" s="48"/>
      <c r="K50" s="48"/>
      <c r="L50" s="48"/>
      <c r="M50" s="48"/>
      <c r="N50" s="48"/>
      <c r="O50" s="48"/>
      <c r="P50" s="48"/>
      <c r="Q50" s="48"/>
    </row>
    <row r="51" spans="2:17" s="46" customFormat="1" ht="15" customHeight="1">
      <c r="B51" s="47"/>
      <c r="C51" s="48"/>
      <c r="D51" s="48"/>
      <c r="E51" s="48"/>
      <c r="F51" s="48"/>
      <c r="G51" s="48"/>
      <c r="H51" s="48"/>
      <c r="I51" s="48"/>
      <c r="J51" s="48"/>
      <c r="K51" s="48"/>
      <c r="L51" s="48"/>
      <c r="M51" s="48"/>
      <c r="N51" s="48"/>
      <c r="O51" s="48"/>
      <c r="P51" s="48"/>
      <c r="Q51" s="48"/>
    </row>
    <row r="52" spans="2:17" s="46" customFormat="1" ht="15" customHeight="1">
      <c r="B52" s="47"/>
      <c r="C52" s="48"/>
      <c r="D52" s="48"/>
      <c r="E52" s="48"/>
      <c r="F52" s="48"/>
      <c r="G52" s="48"/>
      <c r="H52" s="48"/>
      <c r="I52" s="48"/>
      <c r="J52" s="48"/>
      <c r="K52" s="48"/>
      <c r="L52" s="48"/>
      <c r="M52" s="48"/>
      <c r="N52" s="48"/>
      <c r="O52" s="48"/>
      <c r="P52" s="48"/>
      <c r="Q52" s="48"/>
    </row>
    <row r="53" spans="2:17" s="46" customFormat="1" ht="15" customHeight="1">
      <c r="B53" s="47"/>
      <c r="C53" s="48"/>
      <c r="D53" s="48"/>
      <c r="E53" s="48"/>
      <c r="F53" s="48"/>
      <c r="G53" s="48"/>
      <c r="H53" s="48"/>
      <c r="I53" s="48"/>
      <c r="J53" s="48"/>
      <c r="K53" s="48"/>
      <c r="L53" s="48"/>
      <c r="M53" s="48"/>
      <c r="N53" s="48"/>
      <c r="O53" s="48"/>
      <c r="P53" s="48"/>
      <c r="Q53" s="48"/>
    </row>
    <row r="54" spans="2:17" s="46" customFormat="1" ht="15" customHeight="1">
      <c r="B54" s="47"/>
      <c r="C54" s="48"/>
      <c r="D54" s="48"/>
      <c r="E54" s="48"/>
      <c r="F54" s="48"/>
      <c r="G54" s="48"/>
      <c r="H54" s="48"/>
      <c r="I54" s="48"/>
      <c r="J54" s="48"/>
      <c r="K54" s="48"/>
      <c r="L54" s="48"/>
      <c r="M54" s="48"/>
      <c r="N54" s="48"/>
      <c r="O54" s="48"/>
      <c r="P54" s="48"/>
      <c r="Q54" s="48"/>
    </row>
    <row r="55" spans="2:17" s="46" customFormat="1" ht="15" customHeight="1">
      <c r="B55" s="47"/>
      <c r="C55" s="48"/>
      <c r="D55" s="48"/>
      <c r="E55" s="48"/>
      <c r="F55" s="48"/>
      <c r="G55" s="48"/>
      <c r="H55" s="48"/>
      <c r="I55" s="48"/>
      <c r="J55" s="48"/>
      <c r="K55" s="48"/>
      <c r="L55" s="48"/>
      <c r="M55" s="48"/>
      <c r="N55" s="48"/>
      <c r="O55" s="48"/>
      <c r="P55" s="48"/>
      <c r="Q55" s="48"/>
    </row>
    <row r="56" spans="2:17" s="46" customFormat="1" ht="15" customHeight="1">
      <c r="B56" s="47"/>
      <c r="C56" s="48"/>
      <c r="D56" s="48"/>
      <c r="E56" s="48"/>
      <c r="F56" s="48"/>
      <c r="G56" s="48"/>
      <c r="H56" s="48"/>
      <c r="I56" s="48"/>
      <c r="J56" s="48"/>
      <c r="K56" s="48"/>
      <c r="L56" s="48"/>
      <c r="M56" s="48"/>
      <c r="N56" s="48"/>
      <c r="O56" s="48"/>
      <c r="P56" s="48"/>
      <c r="Q56" s="48"/>
    </row>
    <row r="57" spans="2:17" s="46" customFormat="1" ht="15" customHeight="1">
      <c r="B57" s="47"/>
      <c r="C57" s="48"/>
      <c r="D57" s="48"/>
      <c r="E57" s="48"/>
      <c r="F57" s="48"/>
      <c r="G57" s="48"/>
      <c r="H57" s="48"/>
      <c r="I57" s="48"/>
      <c r="J57" s="48"/>
      <c r="K57" s="48"/>
      <c r="L57" s="48"/>
      <c r="M57" s="48"/>
      <c r="N57" s="48"/>
      <c r="O57" s="48"/>
      <c r="P57" s="48"/>
      <c r="Q57" s="48"/>
    </row>
    <row r="58" spans="2:17" s="46" customFormat="1" ht="15" customHeight="1">
      <c r="B58" s="47"/>
      <c r="C58" s="48"/>
      <c r="D58" s="48"/>
      <c r="E58" s="48"/>
      <c r="F58" s="48"/>
      <c r="G58" s="48"/>
      <c r="H58" s="48"/>
      <c r="I58" s="48"/>
      <c r="J58" s="48"/>
      <c r="K58" s="48"/>
      <c r="L58" s="48"/>
      <c r="M58" s="48"/>
      <c r="N58" s="48"/>
      <c r="O58" s="48"/>
      <c r="P58" s="48"/>
      <c r="Q58" s="48"/>
    </row>
    <row r="59" spans="2:17" s="46" customFormat="1" ht="15" customHeight="1">
      <c r="B59" s="47"/>
      <c r="C59" s="48"/>
      <c r="D59" s="48"/>
      <c r="E59" s="48"/>
      <c r="F59" s="48"/>
      <c r="G59" s="48"/>
      <c r="H59" s="48"/>
      <c r="I59" s="48"/>
      <c r="J59" s="48"/>
      <c r="K59" s="48"/>
      <c r="L59" s="48"/>
      <c r="M59" s="48"/>
      <c r="N59" s="48"/>
      <c r="O59" s="48"/>
      <c r="P59" s="48"/>
      <c r="Q59" s="48"/>
    </row>
    <row r="60" spans="2:17" s="46" customFormat="1" ht="15" customHeight="1">
      <c r="B60" s="47"/>
      <c r="C60" s="48"/>
      <c r="D60" s="48"/>
      <c r="E60" s="48"/>
      <c r="F60" s="48"/>
      <c r="G60" s="48"/>
      <c r="H60" s="48"/>
      <c r="I60" s="48"/>
      <c r="J60" s="48"/>
      <c r="K60" s="48"/>
      <c r="L60" s="48"/>
      <c r="M60" s="48"/>
      <c r="N60" s="48"/>
      <c r="O60" s="48"/>
      <c r="P60" s="48"/>
      <c r="Q60" s="48"/>
    </row>
    <row r="61" spans="2:17" s="46" customFormat="1" ht="15" customHeight="1">
      <c r="B61" s="47"/>
      <c r="C61" s="48"/>
      <c r="D61" s="48"/>
      <c r="E61" s="48"/>
      <c r="F61" s="48"/>
      <c r="G61" s="48"/>
      <c r="H61" s="48"/>
      <c r="I61" s="48"/>
      <c r="J61" s="48"/>
      <c r="K61" s="48"/>
      <c r="L61" s="48"/>
      <c r="M61" s="48"/>
      <c r="N61" s="48"/>
      <c r="O61" s="48"/>
      <c r="P61" s="48"/>
      <c r="Q61" s="48"/>
    </row>
    <row r="62" spans="2:17" s="46" customFormat="1" ht="15" customHeight="1">
      <c r="B62" s="47"/>
      <c r="C62" s="48"/>
      <c r="D62" s="48"/>
      <c r="E62" s="48"/>
      <c r="F62" s="48"/>
      <c r="G62" s="48"/>
      <c r="H62" s="48"/>
      <c r="I62" s="48"/>
      <c r="J62" s="48"/>
      <c r="K62" s="48"/>
      <c r="L62" s="48"/>
      <c r="M62" s="48"/>
      <c r="N62" s="48"/>
      <c r="O62" s="48"/>
      <c r="P62" s="48"/>
      <c r="Q62" s="48"/>
    </row>
    <row r="63" spans="2:17" s="46" customFormat="1" ht="15" customHeight="1">
      <c r="B63" s="47"/>
      <c r="C63" s="48"/>
      <c r="D63" s="48"/>
      <c r="E63" s="48"/>
      <c r="F63" s="48"/>
      <c r="G63" s="48"/>
      <c r="H63" s="48"/>
      <c r="I63" s="48"/>
      <c r="J63" s="48"/>
      <c r="K63" s="48"/>
      <c r="L63" s="48"/>
      <c r="M63" s="48"/>
      <c r="N63" s="48"/>
      <c r="O63" s="48"/>
      <c r="P63" s="48"/>
      <c r="Q63" s="48"/>
    </row>
    <row r="64" spans="2:17" s="46" customFormat="1" ht="15" customHeight="1">
      <c r="B64" s="47"/>
      <c r="C64" s="48"/>
      <c r="D64" s="48"/>
      <c r="E64" s="48"/>
      <c r="F64" s="48"/>
      <c r="G64" s="48"/>
      <c r="H64" s="48"/>
      <c r="I64" s="48"/>
      <c r="J64" s="48"/>
      <c r="K64" s="48"/>
      <c r="L64" s="48"/>
      <c r="M64" s="48"/>
      <c r="N64" s="48"/>
      <c r="O64" s="48"/>
      <c r="P64" s="48"/>
      <c r="Q64" s="48"/>
    </row>
    <row r="65" spans="2:17" s="46" customFormat="1" ht="15" customHeight="1">
      <c r="B65" s="47"/>
      <c r="C65" s="48"/>
      <c r="D65" s="48"/>
      <c r="E65" s="48"/>
      <c r="F65" s="48"/>
      <c r="G65" s="48"/>
      <c r="H65" s="48"/>
      <c r="I65" s="48"/>
      <c r="J65" s="48"/>
      <c r="K65" s="48"/>
      <c r="L65" s="48"/>
      <c r="M65" s="48"/>
      <c r="N65" s="48"/>
      <c r="O65" s="48"/>
      <c r="P65" s="48"/>
      <c r="Q65" s="48"/>
    </row>
    <row r="66" spans="2:17" s="46" customFormat="1" ht="15" customHeight="1">
      <c r="B66" s="47"/>
      <c r="C66" s="48"/>
      <c r="D66" s="48"/>
      <c r="E66" s="48"/>
      <c r="F66" s="48"/>
      <c r="G66" s="48"/>
      <c r="H66" s="48"/>
      <c r="I66" s="48"/>
      <c r="J66" s="48"/>
      <c r="K66" s="48"/>
      <c r="L66" s="48"/>
      <c r="M66" s="48"/>
      <c r="N66" s="48"/>
      <c r="O66" s="48"/>
      <c r="P66" s="48"/>
      <c r="Q66" s="48"/>
    </row>
    <row r="67" spans="2:17" s="46" customFormat="1" ht="15" customHeight="1">
      <c r="B67" s="47"/>
      <c r="C67" s="48"/>
      <c r="D67" s="48"/>
      <c r="E67" s="48"/>
      <c r="F67" s="48"/>
      <c r="G67" s="48"/>
      <c r="H67" s="48"/>
      <c r="I67" s="48"/>
      <c r="J67" s="48"/>
      <c r="K67" s="48"/>
      <c r="L67" s="48"/>
      <c r="M67" s="48"/>
      <c r="N67" s="48"/>
      <c r="O67" s="48"/>
      <c r="P67" s="48"/>
      <c r="Q67" s="48"/>
    </row>
    <row r="68" spans="2:17" s="46" customFormat="1" ht="15" customHeight="1">
      <c r="B68" s="47"/>
      <c r="C68" s="48"/>
      <c r="D68" s="48"/>
      <c r="E68" s="48"/>
      <c r="F68" s="48"/>
      <c r="G68" s="48"/>
      <c r="H68" s="48"/>
      <c r="I68" s="48"/>
      <c r="J68" s="48"/>
      <c r="K68" s="48"/>
      <c r="L68" s="48"/>
      <c r="M68" s="48"/>
      <c r="N68" s="48"/>
      <c r="O68" s="48"/>
      <c r="P68" s="48"/>
      <c r="Q68" s="48"/>
    </row>
    <row r="69" spans="2:17" s="46" customFormat="1" ht="15" customHeight="1">
      <c r="B69" s="47"/>
      <c r="C69" s="48"/>
      <c r="D69" s="48"/>
      <c r="E69" s="48"/>
      <c r="F69" s="48"/>
      <c r="G69" s="48"/>
      <c r="H69" s="48"/>
      <c r="I69" s="48"/>
      <c r="J69" s="48"/>
      <c r="K69" s="48"/>
      <c r="L69" s="48"/>
      <c r="M69" s="48"/>
      <c r="N69" s="48"/>
      <c r="O69" s="48"/>
      <c r="P69" s="48"/>
      <c r="Q69" s="48"/>
    </row>
    <row r="70" spans="2:17" s="46" customFormat="1" ht="15" customHeight="1">
      <c r="B70" s="47"/>
      <c r="C70" s="48"/>
      <c r="D70" s="48"/>
      <c r="E70" s="48"/>
      <c r="F70" s="48"/>
      <c r="G70" s="48"/>
      <c r="H70" s="48"/>
      <c r="I70" s="48"/>
      <c r="J70" s="48"/>
      <c r="K70" s="48"/>
      <c r="L70" s="48"/>
      <c r="M70" s="48"/>
      <c r="N70" s="48"/>
      <c r="O70" s="48"/>
      <c r="P70" s="48"/>
      <c r="Q70" s="48"/>
    </row>
    <row r="71" spans="2:17" s="46" customFormat="1" ht="15" customHeight="1">
      <c r="B71" s="47"/>
      <c r="C71" s="48"/>
      <c r="D71" s="48"/>
      <c r="E71" s="48"/>
      <c r="F71" s="48"/>
      <c r="G71" s="48"/>
      <c r="H71" s="48"/>
      <c r="I71" s="48"/>
      <c r="J71" s="48"/>
      <c r="K71" s="48"/>
      <c r="L71" s="48"/>
      <c r="M71" s="48"/>
      <c r="N71" s="48"/>
      <c r="O71" s="48"/>
      <c r="P71" s="48"/>
      <c r="Q71" s="48"/>
    </row>
    <row r="72" spans="2:17" s="46" customFormat="1" ht="15" customHeight="1">
      <c r="B72" s="47"/>
      <c r="C72" s="48"/>
      <c r="D72" s="48"/>
      <c r="E72" s="48"/>
      <c r="F72" s="48"/>
      <c r="G72" s="48"/>
      <c r="H72" s="48"/>
      <c r="I72" s="48"/>
      <c r="J72" s="48"/>
      <c r="K72" s="48"/>
      <c r="L72" s="48"/>
      <c r="M72" s="48"/>
      <c r="N72" s="48"/>
      <c r="O72" s="48"/>
      <c r="P72" s="48"/>
      <c r="Q72" s="48"/>
    </row>
    <row r="73" spans="2:17" s="46" customFormat="1" ht="15" customHeight="1">
      <c r="B73" s="47"/>
      <c r="C73" s="48"/>
      <c r="D73" s="48"/>
      <c r="E73" s="48"/>
      <c r="F73" s="48"/>
      <c r="G73" s="48"/>
      <c r="H73" s="48"/>
      <c r="I73" s="48"/>
      <c r="J73" s="48"/>
      <c r="K73" s="48"/>
      <c r="L73" s="48"/>
      <c r="M73" s="48"/>
      <c r="N73" s="48"/>
      <c r="O73" s="48"/>
      <c r="P73" s="48"/>
      <c r="Q73" s="48"/>
    </row>
    <row r="74" spans="2:17" s="46" customFormat="1" ht="15" customHeight="1">
      <c r="B74" s="47"/>
      <c r="C74" s="48"/>
      <c r="D74" s="48"/>
      <c r="E74" s="48"/>
      <c r="F74" s="48"/>
      <c r="G74" s="48"/>
      <c r="H74" s="48"/>
      <c r="I74" s="48"/>
      <c r="J74" s="48"/>
      <c r="K74" s="48"/>
      <c r="L74" s="48"/>
      <c r="M74" s="48"/>
      <c r="N74" s="48"/>
      <c r="O74" s="48"/>
      <c r="P74" s="48"/>
      <c r="Q74" s="48"/>
    </row>
    <row r="75" spans="2:17" s="46" customFormat="1" ht="15" customHeight="1">
      <c r="B75" s="47"/>
      <c r="C75" s="48"/>
      <c r="D75" s="48"/>
      <c r="E75" s="48"/>
      <c r="F75" s="48"/>
      <c r="G75" s="48"/>
      <c r="H75" s="48"/>
      <c r="I75" s="48"/>
      <c r="J75" s="48"/>
      <c r="K75" s="48"/>
      <c r="L75" s="48"/>
      <c r="M75" s="48"/>
      <c r="N75" s="48"/>
      <c r="O75" s="48"/>
      <c r="P75" s="48"/>
      <c r="Q75" s="48"/>
    </row>
    <row r="76" spans="2:17" s="46" customFormat="1" ht="15" customHeight="1">
      <c r="B76" s="47"/>
      <c r="C76" s="48"/>
      <c r="D76" s="48"/>
      <c r="E76" s="48"/>
      <c r="F76" s="48"/>
      <c r="G76" s="48"/>
      <c r="H76" s="48"/>
      <c r="I76" s="48"/>
      <c r="J76" s="48"/>
      <c r="K76" s="48"/>
      <c r="L76" s="48"/>
      <c r="M76" s="48"/>
      <c r="N76" s="48"/>
      <c r="O76" s="48"/>
      <c r="P76" s="48"/>
      <c r="Q76" s="48"/>
    </row>
    <row r="77" spans="2:17" s="46" customFormat="1" ht="15" customHeight="1">
      <c r="B77" s="47"/>
      <c r="C77" s="48"/>
      <c r="D77" s="48"/>
      <c r="E77" s="48"/>
      <c r="F77" s="48"/>
      <c r="G77" s="48"/>
      <c r="H77" s="48"/>
      <c r="I77" s="48"/>
      <c r="J77" s="48"/>
      <c r="K77" s="48"/>
      <c r="L77" s="48"/>
      <c r="M77" s="48"/>
      <c r="N77" s="48"/>
      <c r="O77" s="48"/>
      <c r="P77" s="48"/>
      <c r="Q77" s="48"/>
    </row>
    <row r="78" spans="2:17" s="46" customFormat="1" ht="15" customHeight="1">
      <c r="B78" s="47"/>
      <c r="C78" s="48"/>
      <c r="D78" s="48"/>
      <c r="E78" s="48"/>
      <c r="F78" s="48"/>
      <c r="G78" s="48"/>
      <c r="H78" s="48"/>
      <c r="I78" s="48"/>
      <c r="J78" s="48"/>
      <c r="K78" s="48"/>
      <c r="L78" s="48"/>
      <c r="M78" s="48"/>
      <c r="N78" s="48"/>
      <c r="O78" s="48"/>
      <c r="P78" s="48"/>
      <c r="Q78" s="48"/>
    </row>
    <row r="79" spans="2:17" s="46" customFormat="1" ht="15" customHeight="1">
      <c r="B79" s="47"/>
      <c r="C79" s="48"/>
      <c r="D79" s="48"/>
      <c r="E79" s="48"/>
      <c r="F79" s="48"/>
      <c r="G79" s="48"/>
      <c r="H79" s="48"/>
      <c r="I79" s="48"/>
      <c r="J79" s="48"/>
      <c r="K79" s="48"/>
      <c r="L79" s="48"/>
      <c r="M79" s="48"/>
      <c r="N79" s="48"/>
      <c r="O79" s="48"/>
      <c r="P79" s="48"/>
      <c r="Q79" s="48"/>
    </row>
    <row r="80" spans="2:17" s="46" customFormat="1" ht="15" customHeight="1">
      <c r="B80" s="47"/>
      <c r="C80" s="48"/>
      <c r="D80" s="48"/>
      <c r="E80" s="48"/>
      <c r="F80" s="48"/>
      <c r="G80" s="48"/>
      <c r="H80" s="48"/>
      <c r="I80" s="48"/>
      <c r="J80" s="48"/>
      <c r="K80" s="48"/>
      <c r="L80" s="48"/>
      <c r="M80" s="48"/>
      <c r="N80" s="48"/>
      <c r="O80" s="48"/>
      <c r="P80" s="48"/>
      <c r="Q80" s="48"/>
    </row>
    <row r="81" spans="2:17" s="46" customFormat="1" ht="15" customHeight="1">
      <c r="B81" s="47"/>
      <c r="C81" s="48"/>
      <c r="D81" s="48"/>
      <c r="E81" s="48"/>
      <c r="F81" s="48"/>
      <c r="G81" s="48"/>
      <c r="H81" s="48"/>
      <c r="I81" s="48"/>
      <c r="J81" s="48"/>
      <c r="K81" s="48"/>
      <c r="L81" s="48"/>
      <c r="M81" s="48"/>
      <c r="N81" s="48"/>
      <c r="O81" s="48"/>
      <c r="P81" s="48"/>
      <c r="Q81" s="48"/>
    </row>
    <row r="82" spans="2:17" s="46" customFormat="1" ht="15" customHeight="1">
      <c r="B82" s="47"/>
      <c r="C82" s="48"/>
      <c r="D82" s="48"/>
      <c r="E82" s="48"/>
      <c r="F82" s="48"/>
      <c r="G82" s="48"/>
      <c r="H82" s="48"/>
      <c r="I82" s="48"/>
      <c r="J82" s="48"/>
      <c r="K82" s="48"/>
      <c r="L82" s="48"/>
      <c r="M82" s="48"/>
      <c r="N82" s="48"/>
      <c r="O82" s="48"/>
      <c r="P82" s="48"/>
      <c r="Q82" s="48"/>
    </row>
    <row r="83" spans="2:17" s="46" customFormat="1" ht="15" customHeight="1">
      <c r="B83" s="47"/>
      <c r="C83" s="48"/>
      <c r="D83" s="48"/>
      <c r="E83" s="48"/>
      <c r="F83" s="48"/>
      <c r="G83" s="48"/>
      <c r="H83" s="48"/>
      <c r="I83" s="48"/>
      <c r="J83" s="48"/>
      <c r="K83" s="48"/>
      <c r="L83" s="48"/>
      <c r="M83" s="48"/>
      <c r="N83" s="48"/>
      <c r="O83" s="48"/>
      <c r="P83" s="48"/>
      <c r="Q83" s="48"/>
    </row>
    <row r="84" spans="2:17" s="46" customFormat="1" ht="15" customHeight="1">
      <c r="B84" s="47"/>
      <c r="C84" s="48"/>
      <c r="D84" s="48"/>
      <c r="E84" s="48"/>
      <c r="F84" s="48"/>
      <c r="G84" s="48"/>
      <c r="H84" s="48"/>
      <c r="I84" s="48"/>
      <c r="J84" s="48"/>
      <c r="K84" s="48"/>
      <c r="L84" s="48"/>
      <c r="M84" s="48"/>
      <c r="N84" s="48"/>
      <c r="O84" s="48"/>
      <c r="P84" s="48"/>
      <c r="Q84" s="48"/>
    </row>
    <row r="85" spans="2:17" s="46" customFormat="1" ht="15" customHeight="1">
      <c r="B85" s="47"/>
      <c r="C85" s="48"/>
      <c r="D85" s="48"/>
      <c r="E85" s="48"/>
      <c r="F85" s="48"/>
      <c r="G85" s="48"/>
      <c r="H85" s="48"/>
      <c r="I85" s="48"/>
      <c r="J85" s="48"/>
      <c r="K85" s="48"/>
      <c r="L85" s="48"/>
      <c r="M85" s="48"/>
      <c r="N85" s="48"/>
      <c r="O85" s="48"/>
      <c r="P85" s="48"/>
      <c r="Q85" s="48"/>
    </row>
    <row r="86" spans="2:17" s="46" customFormat="1" ht="15" customHeight="1">
      <c r="B86" s="47"/>
      <c r="C86" s="48"/>
      <c r="D86" s="48"/>
      <c r="E86" s="48"/>
      <c r="F86" s="48"/>
      <c r="G86" s="48"/>
      <c r="H86" s="48"/>
      <c r="I86" s="48"/>
      <c r="J86" s="48"/>
      <c r="K86" s="48"/>
      <c r="L86" s="48"/>
      <c r="M86" s="48"/>
      <c r="N86" s="48"/>
      <c r="O86" s="48"/>
      <c r="P86" s="48"/>
      <c r="Q86" s="48"/>
    </row>
    <row r="87" spans="2:17" s="46" customFormat="1" ht="15" customHeight="1">
      <c r="B87" s="47"/>
      <c r="C87" s="48"/>
      <c r="D87" s="48"/>
      <c r="E87" s="48"/>
      <c r="F87" s="48"/>
      <c r="G87" s="48"/>
      <c r="H87" s="48"/>
      <c r="I87" s="48"/>
      <c r="J87" s="48"/>
      <c r="K87" s="48"/>
      <c r="L87" s="48"/>
      <c r="M87" s="48"/>
      <c r="N87" s="48"/>
      <c r="O87" s="48"/>
      <c r="P87" s="48"/>
      <c r="Q87" s="48"/>
    </row>
    <row r="88" spans="2:17" s="46" customFormat="1" ht="15" customHeight="1">
      <c r="B88" s="47"/>
      <c r="C88" s="48"/>
      <c r="D88" s="48"/>
      <c r="E88" s="48"/>
      <c r="F88" s="48"/>
      <c r="G88" s="48"/>
      <c r="H88" s="48"/>
      <c r="I88" s="48"/>
      <c r="J88" s="48"/>
      <c r="K88" s="48"/>
      <c r="L88" s="48"/>
      <c r="M88" s="48"/>
      <c r="N88" s="48"/>
      <c r="O88" s="48"/>
      <c r="P88" s="48"/>
      <c r="Q88" s="48"/>
    </row>
    <row r="89" spans="2:17" s="46" customFormat="1" ht="15" customHeight="1">
      <c r="B89" s="47"/>
      <c r="C89" s="48"/>
      <c r="D89" s="48"/>
      <c r="E89" s="48"/>
      <c r="F89" s="48"/>
      <c r="G89" s="48"/>
      <c r="H89" s="48"/>
      <c r="I89" s="48"/>
      <c r="J89" s="48"/>
      <c r="K89" s="48"/>
      <c r="L89" s="48"/>
      <c r="M89" s="48"/>
      <c r="N89" s="48"/>
      <c r="O89" s="48"/>
      <c r="P89" s="48"/>
      <c r="Q89" s="48"/>
    </row>
    <row r="90" spans="2:17" s="46" customFormat="1" ht="15" customHeight="1">
      <c r="B90" s="47"/>
      <c r="C90" s="48"/>
      <c r="D90" s="48"/>
      <c r="E90" s="48"/>
      <c r="F90" s="48"/>
      <c r="G90" s="48"/>
      <c r="H90" s="48"/>
      <c r="I90" s="48"/>
      <c r="J90" s="48"/>
      <c r="K90" s="48"/>
      <c r="L90" s="48"/>
      <c r="M90" s="48"/>
      <c r="N90" s="48"/>
      <c r="O90" s="48"/>
      <c r="P90" s="48"/>
      <c r="Q90" s="48"/>
    </row>
    <row r="91" spans="2:17" s="46" customFormat="1" ht="15" customHeight="1">
      <c r="B91" s="47"/>
      <c r="C91" s="48"/>
      <c r="D91" s="48"/>
      <c r="E91" s="48"/>
      <c r="F91" s="48"/>
      <c r="G91" s="48"/>
      <c r="H91" s="48"/>
      <c r="I91" s="48"/>
      <c r="J91" s="48"/>
      <c r="K91" s="48"/>
      <c r="L91" s="48"/>
      <c r="M91" s="48"/>
      <c r="N91" s="48"/>
      <c r="O91" s="48"/>
      <c r="P91" s="48"/>
      <c r="Q91" s="48"/>
    </row>
    <row r="92" spans="2:17" s="46" customFormat="1" ht="15" customHeight="1">
      <c r="B92" s="47"/>
      <c r="C92" s="48"/>
      <c r="D92" s="48"/>
      <c r="E92" s="48"/>
      <c r="F92" s="48"/>
      <c r="G92" s="48"/>
      <c r="H92" s="48"/>
      <c r="I92" s="48"/>
      <c r="J92" s="48"/>
      <c r="K92" s="48"/>
      <c r="L92" s="48"/>
      <c r="M92" s="48"/>
      <c r="N92" s="48"/>
      <c r="O92" s="48"/>
      <c r="P92" s="48"/>
      <c r="Q92" s="48"/>
    </row>
    <row r="93" spans="2:17" s="46" customFormat="1" ht="15" customHeight="1">
      <c r="B93" s="47"/>
      <c r="C93" s="48"/>
      <c r="D93" s="48"/>
      <c r="E93" s="48"/>
      <c r="F93" s="48"/>
      <c r="G93" s="48"/>
      <c r="H93" s="48"/>
      <c r="I93" s="48"/>
      <c r="J93" s="48"/>
      <c r="K93" s="48"/>
      <c r="L93" s="48"/>
      <c r="M93" s="48"/>
      <c r="N93" s="48"/>
      <c r="O93" s="48"/>
      <c r="P93" s="48"/>
      <c r="Q93" s="48"/>
    </row>
    <row r="94" spans="2:17" s="46" customFormat="1" ht="15" customHeight="1">
      <c r="B94" s="47"/>
      <c r="C94" s="48"/>
      <c r="D94" s="48"/>
      <c r="E94" s="48"/>
      <c r="F94" s="48"/>
      <c r="G94" s="48"/>
      <c r="H94" s="48"/>
      <c r="I94" s="48"/>
      <c r="J94" s="48"/>
      <c r="K94" s="48"/>
      <c r="L94" s="48"/>
      <c r="M94" s="48"/>
      <c r="N94" s="48"/>
      <c r="O94" s="48"/>
      <c r="P94" s="48"/>
      <c r="Q94" s="48"/>
    </row>
    <row r="95" spans="2:17" s="46" customFormat="1" ht="15" customHeight="1">
      <c r="B95" s="47"/>
      <c r="C95" s="48"/>
      <c r="D95" s="48"/>
      <c r="E95" s="48"/>
      <c r="F95" s="48"/>
      <c r="G95" s="48"/>
      <c r="H95" s="48"/>
      <c r="I95" s="48"/>
      <c r="J95" s="48"/>
      <c r="K95" s="48"/>
      <c r="L95" s="48"/>
      <c r="M95" s="48"/>
      <c r="N95" s="48"/>
      <c r="O95" s="48"/>
      <c r="P95" s="48"/>
      <c r="Q95" s="48"/>
    </row>
    <row r="96" spans="2:17" s="46" customFormat="1" ht="15" customHeight="1">
      <c r="B96" s="47"/>
      <c r="C96" s="48"/>
      <c r="D96" s="48"/>
      <c r="E96" s="48"/>
      <c r="F96" s="48"/>
      <c r="G96" s="48"/>
      <c r="H96" s="48"/>
      <c r="I96" s="48"/>
      <c r="J96" s="48"/>
      <c r="K96" s="48"/>
      <c r="L96" s="48"/>
      <c r="M96" s="48"/>
      <c r="N96" s="48"/>
      <c r="O96" s="48"/>
      <c r="P96" s="48"/>
      <c r="Q96" s="48"/>
    </row>
    <row r="97" spans="2:17" s="46" customFormat="1" ht="15" customHeight="1">
      <c r="B97" s="47"/>
      <c r="C97" s="48"/>
      <c r="D97" s="48"/>
      <c r="E97" s="48"/>
      <c r="F97" s="48"/>
      <c r="G97" s="48"/>
      <c r="H97" s="48"/>
      <c r="I97" s="48"/>
      <c r="J97" s="48"/>
      <c r="K97" s="48"/>
      <c r="L97" s="48"/>
      <c r="M97" s="48"/>
      <c r="N97" s="48"/>
      <c r="O97" s="48"/>
      <c r="P97" s="48"/>
      <c r="Q97" s="48"/>
    </row>
    <row r="98" spans="2:17" s="46" customFormat="1" ht="15" customHeight="1">
      <c r="B98" s="47"/>
      <c r="C98" s="48"/>
      <c r="D98" s="48"/>
      <c r="E98" s="48"/>
      <c r="F98" s="48"/>
      <c r="G98" s="48"/>
      <c r="H98" s="48"/>
      <c r="I98" s="48"/>
      <c r="J98" s="48"/>
      <c r="K98" s="48"/>
      <c r="L98" s="48"/>
      <c r="M98" s="48"/>
      <c r="N98" s="48"/>
      <c r="O98" s="48"/>
      <c r="P98" s="48"/>
      <c r="Q98" s="48"/>
    </row>
    <row r="99" spans="2:17" s="46" customFormat="1" ht="15" customHeight="1">
      <c r="B99" s="47"/>
      <c r="C99" s="48"/>
      <c r="D99" s="48"/>
      <c r="E99" s="48"/>
      <c r="F99" s="48"/>
      <c r="G99" s="48"/>
      <c r="H99" s="48"/>
      <c r="I99" s="48"/>
      <c r="J99" s="48"/>
      <c r="K99" s="48"/>
      <c r="L99" s="48"/>
      <c r="M99" s="48"/>
      <c r="N99" s="48"/>
      <c r="O99" s="48"/>
      <c r="P99" s="48"/>
      <c r="Q99" s="48"/>
    </row>
    <row r="100" spans="2:17" s="46" customFormat="1" ht="15" customHeight="1">
      <c r="B100" s="47"/>
      <c r="C100" s="48"/>
      <c r="D100" s="48"/>
      <c r="E100" s="48"/>
      <c r="F100" s="48"/>
      <c r="G100" s="48"/>
      <c r="H100" s="48"/>
      <c r="I100" s="48"/>
      <c r="J100" s="48"/>
      <c r="K100" s="48"/>
      <c r="L100" s="48"/>
      <c r="M100" s="48"/>
      <c r="N100" s="48"/>
      <c r="O100" s="48"/>
      <c r="P100" s="48"/>
      <c r="Q100" s="48"/>
    </row>
    <row r="101" spans="2:17" s="46" customFormat="1" ht="15" customHeight="1">
      <c r="B101" s="47"/>
      <c r="C101" s="48"/>
      <c r="D101" s="48"/>
      <c r="E101" s="48"/>
      <c r="F101" s="48"/>
      <c r="G101" s="48"/>
      <c r="H101" s="48"/>
      <c r="I101" s="48"/>
      <c r="J101" s="48"/>
      <c r="K101" s="48"/>
      <c r="L101" s="48"/>
      <c r="M101" s="48"/>
      <c r="N101" s="48"/>
      <c r="O101" s="48"/>
      <c r="P101" s="48"/>
      <c r="Q101" s="48"/>
    </row>
    <row r="102" spans="2:17" s="46" customFormat="1" ht="15" customHeight="1">
      <c r="B102" s="47"/>
      <c r="C102" s="48"/>
      <c r="D102" s="48"/>
      <c r="E102" s="48"/>
      <c r="F102" s="48"/>
      <c r="G102" s="48"/>
      <c r="H102" s="48"/>
      <c r="I102" s="48"/>
      <c r="J102" s="48"/>
      <c r="K102" s="48"/>
      <c r="L102" s="48"/>
      <c r="M102" s="48"/>
      <c r="N102" s="48"/>
      <c r="O102" s="48"/>
      <c r="P102" s="48"/>
      <c r="Q102" s="48"/>
    </row>
    <row r="103" spans="2:17" s="46" customFormat="1" ht="15" customHeight="1">
      <c r="B103" s="47"/>
      <c r="C103" s="48"/>
      <c r="D103" s="48"/>
      <c r="E103" s="48"/>
      <c r="F103" s="48"/>
      <c r="G103" s="48"/>
      <c r="H103" s="48"/>
      <c r="I103" s="48"/>
      <c r="J103" s="48"/>
      <c r="K103" s="48"/>
      <c r="L103" s="48"/>
      <c r="M103" s="48"/>
      <c r="N103" s="48"/>
      <c r="O103" s="48"/>
      <c r="P103" s="48"/>
      <c r="Q103" s="48"/>
    </row>
    <row r="104" spans="2:17" s="46" customFormat="1" ht="15" customHeight="1">
      <c r="B104" s="47"/>
      <c r="C104" s="48"/>
      <c r="D104" s="48"/>
      <c r="E104" s="48"/>
      <c r="F104" s="48"/>
      <c r="G104" s="48"/>
      <c r="H104" s="48"/>
      <c r="I104" s="48"/>
      <c r="J104" s="48"/>
      <c r="K104" s="48"/>
      <c r="L104" s="48"/>
      <c r="M104" s="48"/>
      <c r="N104" s="48"/>
      <c r="O104" s="48"/>
      <c r="P104" s="48"/>
      <c r="Q104" s="48"/>
    </row>
    <row r="105" spans="2:17" s="46" customFormat="1" ht="15" customHeight="1">
      <c r="B105" s="47"/>
      <c r="C105" s="48"/>
      <c r="D105" s="48"/>
      <c r="E105" s="48"/>
      <c r="F105" s="48"/>
      <c r="G105" s="48"/>
      <c r="H105" s="48"/>
      <c r="I105" s="48"/>
      <c r="J105" s="48"/>
      <c r="K105" s="48"/>
      <c r="L105" s="48"/>
      <c r="M105" s="48"/>
      <c r="N105" s="48"/>
      <c r="O105" s="48"/>
      <c r="P105" s="48"/>
      <c r="Q105" s="48"/>
    </row>
    <row r="106" spans="2:17" s="46" customFormat="1" ht="15" customHeight="1">
      <c r="B106" s="47"/>
      <c r="C106" s="48"/>
      <c r="D106" s="48"/>
      <c r="E106" s="48"/>
      <c r="F106" s="48"/>
      <c r="G106" s="48"/>
      <c r="H106" s="48"/>
      <c r="I106" s="48"/>
      <c r="J106" s="48"/>
      <c r="K106" s="48"/>
      <c r="L106" s="48"/>
      <c r="M106" s="48"/>
      <c r="N106" s="48"/>
      <c r="O106" s="48"/>
      <c r="P106" s="48"/>
      <c r="Q106" s="48"/>
    </row>
    <row r="107" spans="2:17" s="46" customFormat="1" ht="15" customHeight="1">
      <c r="B107" s="47"/>
      <c r="C107" s="48"/>
      <c r="D107" s="48"/>
      <c r="E107" s="48"/>
      <c r="F107" s="48"/>
      <c r="G107" s="48"/>
      <c r="H107" s="48"/>
      <c r="I107" s="48"/>
      <c r="J107" s="48"/>
      <c r="K107" s="48"/>
      <c r="L107" s="48"/>
      <c r="M107" s="48"/>
      <c r="N107" s="48"/>
      <c r="O107" s="48"/>
      <c r="P107" s="48"/>
      <c r="Q107" s="48"/>
    </row>
    <row r="108" spans="2:17" s="46" customFormat="1" ht="15" customHeight="1">
      <c r="B108" s="47"/>
      <c r="C108" s="48"/>
      <c r="D108" s="48"/>
      <c r="E108" s="48"/>
      <c r="F108" s="48"/>
      <c r="G108" s="48"/>
      <c r="H108" s="48"/>
      <c r="I108" s="48"/>
      <c r="J108" s="48"/>
      <c r="K108" s="48"/>
      <c r="L108" s="48"/>
      <c r="M108" s="48"/>
      <c r="N108" s="48"/>
      <c r="O108" s="48"/>
      <c r="P108" s="48"/>
      <c r="Q108" s="48"/>
    </row>
    <row r="109" spans="2:17" s="46" customFormat="1" ht="15" customHeight="1">
      <c r="B109" s="47"/>
      <c r="C109" s="48"/>
      <c r="D109" s="48"/>
      <c r="E109" s="48"/>
      <c r="F109" s="48"/>
      <c r="G109" s="48"/>
      <c r="H109" s="48"/>
      <c r="I109" s="48"/>
      <c r="J109" s="48"/>
      <c r="K109" s="48"/>
      <c r="L109" s="48"/>
      <c r="M109" s="48"/>
      <c r="N109" s="48"/>
      <c r="O109" s="48"/>
      <c r="P109" s="48"/>
      <c r="Q109" s="48"/>
    </row>
    <row r="110" spans="2:17" s="46" customFormat="1" ht="15" customHeight="1">
      <c r="B110" s="47"/>
      <c r="C110" s="48"/>
      <c r="D110" s="48"/>
      <c r="E110" s="48"/>
      <c r="F110" s="48"/>
      <c r="G110" s="48"/>
      <c r="H110" s="48"/>
      <c r="I110" s="48"/>
      <c r="J110" s="48"/>
      <c r="K110" s="48"/>
      <c r="L110" s="48"/>
      <c r="M110" s="48"/>
      <c r="N110" s="48"/>
      <c r="O110" s="48"/>
      <c r="P110" s="48"/>
      <c r="Q110" s="48"/>
    </row>
    <row r="111" spans="2:17" s="46" customFormat="1" ht="15" customHeight="1">
      <c r="B111" s="47"/>
      <c r="C111" s="48"/>
      <c r="D111" s="48"/>
      <c r="E111" s="48"/>
      <c r="F111" s="48"/>
      <c r="G111" s="48"/>
      <c r="H111" s="48"/>
      <c r="I111" s="48"/>
      <c r="J111" s="48"/>
      <c r="K111" s="48"/>
      <c r="L111" s="48"/>
      <c r="M111" s="48"/>
      <c r="N111" s="48"/>
      <c r="O111" s="48"/>
      <c r="P111" s="48"/>
      <c r="Q111" s="48"/>
    </row>
    <row r="112" spans="2:17" s="46" customFormat="1" ht="15" customHeight="1">
      <c r="B112" s="47"/>
      <c r="C112" s="48"/>
      <c r="D112" s="48"/>
      <c r="E112" s="48"/>
      <c r="F112" s="48"/>
      <c r="G112" s="48"/>
      <c r="H112" s="48"/>
      <c r="I112" s="48"/>
      <c r="J112" s="48"/>
      <c r="K112" s="48"/>
      <c r="L112" s="48"/>
      <c r="M112" s="48"/>
      <c r="N112" s="48"/>
      <c r="O112" s="48"/>
      <c r="P112" s="48"/>
      <c r="Q112" s="48"/>
    </row>
    <row r="113" spans="2:17" s="46" customFormat="1" ht="15" customHeight="1">
      <c r="B113" s="47"/>
      <c r="C113" s="48"/>
      <c r="D113" s="48"/>
      <c r="E113" s="48"/>
      <c r="F113" s="48"/>
      <c r="G113" s="48"/>
      <c r="H113" s="48"/>
      <c r="I113" s="48"/>
      <c r="J113" s="48"/>
      <c r="K113" s="48"/>
      <c r="L113" s="48"/>
      <c r="M113" s="48"/>
      <c r="N113" s="48"/>
      <c r="O113" s="48"/>
      <c r="P113" s="48"/>
      <c r="Q113" s="48"/>
    </row>
    <row r="114" spans="2:17" s="46" customFormat="1" ht="15" customHeight="1">
      <c r="B114" s="47"/>
      <c r="C114" s="48"/>
      <c r="D114" s="48"/>
      <c r="E114" s="48"/>
      <c r="F114" s="48"/>
      <c r="G114" s="48"/>
      <c r="H114" s="48"/>
      <c r="I114" s="48"/>
      <c r="J114" s="48"/>
      <c r="K114" s="48"/>
      <c r="L114" s="48"/>
      <c r="M114" s="48"/>
      <c r="N114" s="48"/>
      <c r="O114" s="48"/>
      <c r="P114" s="48"/>
      <c r="Q114" s="48"/>
    </row>
    <row r="115" spans="2:17" s="46" customFormat="1" ht="15" customHeight="1">
      <c r="B115" s="47"/>
      <c r="C115" s="48"/>
      <c r="D115" s="48"/>
      <c r="E115" s="48"/>
      <c r="F115" s="48"/>
      <c r="G115" s="48"/>
      <c r="H115" s="48"/>
      <c r="I115" s="48"/>
      <c r="J115" s="48"/>
      <c r="K115" s="48"/>
      <c r="L115" s="48"/>
      <c r="M115" s="48"/>
      <c r="N115" s="48"/>
      <c r="O115" s="48"/>
      <c r="P115" s="48"/>
      <c r="Q115" s="48"/>
    </row>
    <row r="116" spans="2:17" s="46" customFormat="1" ht="15" customHeight="1">
      <c r="B116" s="47"/>
      <c r="C116" s="48"/>
      <c r="D116" s="48"/>
      <c r="E116" s="48"/>
      <c r="F116" s="48"/>
      <c r="G116" s="48"/>
      <c r="H116" s="48"/>
      <c r="I116" s="48"/>
      <c r="J116" s="48"/>
      <c r="K116" s="48"/>
      <c r="L116" s="48"/>
      <c r="M116" s="48"/>
      <c r="N116" s="48"/>
      <c r="O116" s="48"/>
      <c r="P116" s="48"/>
      <c r="Q116" s="48"/>
    </row>
    <row r="117" spans="2:17" s="46" customFormat="1" ht="15" customHeight="1">
      <c r="B117" s="47"/>
      <c r="C117" s="48"/>
      <c r="D117" s="48"/>
      <c r="E117" s="48"/>
      <c r="F117" s="48"/>
      <c r="G117" s="48"/>
      <c r="H117" s="48"/>
      <c r="I117" s="48"/>
      <c r="J117" s="48"/>
      <c r="K117" s="48"/>
      <c r="L117" s="48"/>
      <c r="M117" s="48"/>
      <c r="N117" s="48"/>
      <c r="O117" s="48"/>
      <c r="P117" s="48"/>
      <c r="Q117" s="48"/>
    </row>
    <row r="118" spans="2:17" s="46" customFormat="1" ht="15" customHeight="1">
      <c r="B118" s="47"/>
      <c r="C118" s="48"/>
      <c r="D118" s="48"/>
      <c r="E118" s="48"/>
      <c r="F118" s="48"/>
      <c r="G118" s="48"/>
      <c r="H118" s="48"/>
      <c r="I118" s="48"/>
      <c r="J118" s="48"/>
      <c r="K118" s="48"/>
      <c r="L118" s="48"/>
      <c r="M118" s="48"/>
      <c r="N118" s="48"/>
      <c r="O118" s="48"/>
      <c r="P118" s="48"/>
      <c r="Q118" s="48"/>
    </row>
    <row r="119" spans="2:17" s="46" customFormat="1" ht="15" customHeight="1">
      <c r="B119" s="47"/>
      <c r="C119" s="48"/>
      <c r="D119" s="48"/>
      <c r="E119" s="48"/>
      <c r="F119" s="48"/>
      <c r="G119" s="48"/>
      <c r="H119" s="48"/>
      <c r="I119" s="48"/>
      <c r="J119" s="48"/>
      <c r="K119" s="48"/>
      <c r="L119" s="48"/>
      <c r="M119" s="48"/>
      <c r="N119" s="48"/>
      <c r="O119" s="48"/>
      <c r="P119" s="48"/>
      <c r="Q119" s="48"/>
    </row>
    <row r="120" spans="2:17" s="46" customFormat="1" ht="15" customHeight="1">
      <c r="B120" s="47"/>
      <c r="C120" s="48"/>
      <c r="D120" s="48"/>
      <c r="E120" s="48"/>
      <c r="F120" s="48"/>
      <c r="G120" s="48"/>
      <c r="H120" s="48"/>
      <c r="I120" s="48"/>
      <c r="J120" s="48"/>
      <c r="K120" s="48"/>
      <c r="L120" s="48"/>
      <c r="M120" s="48"/>
      <c r="N120" s="48"/>
      <c r="O120" s="48"/>
      <c r="P120" s="48"/>
      <c r="Q120" s="48"/>
    </row>
    <row r="121" spans="2:17" s="46" customFormat="1" ht="15" customHeight="1">
      <c r="B121" s="47"/>
      <c r="C121" s="48"/>
      <c r="D121" s="48"/>
      <c r="E121" s="48"/>
      <c r="F121" s="48"/>
      <c r="G121" s="48"/>
      <c r="H121" s="48"/>
      <c r="I121" s="48"/>
      <c r="J121" s="48"/>
      <c r="K121" s="48"/>
      <c r="L121" s="48"/>
      <c r="M121" s="48"/>
      <c r="N121" s="48"/>
      <c r="O121" s="48"/>
      <c r="P121" s="48"/>
      <c r="Q121" s="48"/>
    </row>
    <row r="122" spans="2:17" s="46" customFormat="1" ht="15" customHeight="1">
      <c r="B122" s="47"/>
      <c r="C122" s="48"/>
      <c r="D122" s="48"/>
      <c r="E122" s="48"/>
      <c r="F122" s="48"/>
      <c r="G122" s="48"/>
      <c r="H122" s="48"/>
      <c r="I122" s="48"/>
      <c r="J122" s="48"/>
      <c r="K122" s="48"/>
      <c r="L122" s="48"/>
      <c r="M122" s="48"/>
      <c r="N122" s="48"/>
      <c r="O122" s="48"/>
      <c r="P122" s="48"/>
      <c r="Q122" s="48"/>
    </row>
    <row r="123" spans="2:17" s="46" customFormat="1" ht="15" customHeight="1">
      <c r="B123" s="47"/>
      <c r="C123" s="48"/>
      <c r="D123" s="48"/>
      <c r="E123" s="48"/>
      <c r="F123" s="48"/>
      <c r="G123" s="48"/>
      <c r="H123" s="48"/>
      <c r="I123" s="48"/>
      <c r="J123" s="48"/>
      <c r="K123" s="48"/>
      <c r="L123" s="48"/>
      <c r="M123" s="48"/>
      <c r="N123" s="48"/>
      <c r="O123" s="48"/>
      <c r="P123" s="48"/>
      <c r="Q123" s="48"/>
    </row>
    <row r="124" spans="2:17" s="46" customFormat="1" ht="15" customHeight="1">
      <c r="B124" s="47"/>
      <c r="C124" s="48"/>
      <c r="D124" s="48"/>
      <c r="E124" s="48"/>
      <c r="F124" s="48"/>
      <c r="G124" s="48"/>
      <c r="H124" s="48"/>
      <c r="I124" s="48"/>
      <c r="J124" s="48"/>
      <c r="K124" s="48"/>
      <c r="L124" s="48"/>
      <c r="M124" s="48"/>
      <c r="N124" s="48"/>
      <c r="O124" s="48"/>
      <c r="P124" s="48"/>
      <c r="Q124" s="48"/>
    </row>
    <row r="125" spans="2:17" s="46" customFormat="1" ht="15" customHeight="1">
      <c r="B125" s="47"/>
      <c r="C125" s="48"/>
      <c r="D125" s="48"/>
      <c r="E125" s="48"/>
      <c r="F125" s="48"/>
      <c r="G125" s="48"/>
      <c r="H125" s="48"/>
      <c r="I125" s="48"/>
      <c r="J125" s="48"/>
      <c r="K125" s="48"/>
      <c r="L125" s="48"/>
      <c r="M125" s="48"/>
      <c r="N125" s="48"/>
      <c r="O125" s="48"/>
      <c r="P125" s="48"/>
      <c r="Q125" s="48"/>
    </row>
    <row r="126" spans="2:17" s="46" customFormat="1" ht="15" customHeight="1">
      <c r="B126" s="47"/>
      <c r="C126" s="48"/>
      <c r="D126" s="48"/>
      <c r="E126" s="48"/>
      <c r="F126" s="48"/>
      <c r="G126" s="48"/>
      <c r="H126" s="48"/>
      <c r="I126" s="48"/>
      <c r="J126" s="48"/>
      <c r="K126" s="48"/>
      <c r="L126" s="48"/>
      <c r="M126" s="48"/>
      <c r="N126" s="48"/>
      <c r="O126" s="48"/>
      <c r="P126" s="48"/>
      <c r="Q126" s="48"/>
    </row>
    <row r="127" spans="2:17" s="46" customFormat="1" ht="15" customHeight="1">
      <c r="B127" s="47"/>
      <c r="C127" s="48"/>
      <c r="D127" s="48"/>
      <c r="E127" s="48"/>
      <c r="F127" s="48"/>
      <c r="G127" s="48"/>
      <c r="H127" s="48"/>
      <c r="I127" s="48"/>
      <c r="J127" s="48"/>
      <c r="K127" s="48"/>
      <c r="L127" s="48"/>
      <c r="M127" s="48"/>
      <c r="N127" s="48"/>
      <c r="O127" s="48"/>
      <c r="P127" s="48"/>
      <c r="Q127" s="48"/>
    </row>
    <row r="128" spans="2:17" s="46" customFormat="1" ht="15" customHeight="1">
      <c r="B128" s="47"/>
      <c r="C128" s="48"/>
      <c r="D128" s="48"/>
      <c r="E128" s="48"/>
      <c r="F128" s="48"/>
      <c r="G128" s="48"/>
      <c r="H128" s="48"/>
      <c r="I128" s="48"/>
      <c r="J128" s="48"/>
      <c r="K128" s="48"/>
      <c r="L128" s="48"/>
      <c r="M128" s="48"/>
      <c r="N128" s="48"/>
      <c r="O128" s="48"/>
      <c r="P128" s="48"/>
      <c r="Q128" s="48"/>
    </row>
    <row r="129" spans="2:17" s="46" customFormat="1" ht="15" customHeight="1">
      <c r="B129" s="47"/>
      <c r="C129" s="48"/>
      <c r="D129" s="48"/>
      <c r="E129" s="48"/>
      <c r="F129" s="48"/>
      <c r="G129" s="48"/>
      <c r="H129" s="48"/>
      <c r="I129" s="48"/>
      <c r="J129" s="48"/>
      <c r="K129" s="48"/>
      <c r="L129" s="48"/>
      <c r="M129" s="48"/>
      <c r="N129" s="48"/>
      <c r="O129" s="48"/>
      <c r="P129" s="48"/>
      <c r="Q129" s="48"/>
    </row>
    <row r="130" spans="2:17" s="46" customFormat="1" ht="15" customHeight="1">
      <c r="B130" s="47"/>
      <c r="C130" s="48"/>
      <c r="D130" s="48"/>
      <c r="E130" s="48"/>
      <c r="F130" s="48"/>
      <c r="G130" s="48"/>
      <c r="H130" s="48"/>
      <c r="I130" s="48"/>
      <c r="J130" s="48"/>
      <c r="K130" s="48"/>
      <c r="L130" s="48"/>
      <c r="M130" s="48"/>
      <c r="N130" s="48"/>
      <c r="O130" s="48"/>
      <c r="P130" s="48"/>
      <c r="Q130" s="48"/>
    </row>
    <row r="131" spans="2:17" s="46" customFormat="1" ht="15" customHeight="1">
      <c r="B131" s="47"/>
      <c r="C131" s="48"/>
      <c r="D131" s="48"/>
      <c r="E131" s="48"/>
      <c r="F131" s="48"/>
      <c r="G131" s="48"/>
      <c r="H131" s="48"/>
      <c r="I131" s="48"/>
      <c r="J131" s="48"/>
      <c r="K131" s="48"/>
      <c r="L131" s="48"/>
      <c r="M131" s="48"/>
      <c r="N131" s="48"/>
      <c r="O131" s="48"/>
      <c r="P131" s="48"/>
      <c r="Q131" s="48"/>
    </row>
    <row r="132" spans="2:17" s="46" customFormat="1" ht="15" customHeight="1">
      <c r="B132" s="47"/>
      <c r="C132" s="48"/>
      <c r="D132" s="48"/>
      <c r="E132" s="48"/>
      <c r="F132" s="48"/>
      <c r="G132" s="48"/>
      <c r="H132" s="48"/>
      <c r="I132" s="48"/>
      <c r="J132" s="48"/>
      <c r="K132" s="48"/>
      <c r="L132" s="48"/>
      <c r="M132" s="48"/>
      <c r="N132" s="48"/>
      <c r="O132" s="48"/>
      <c r="P132" s="48"/>
      <c r="Q132" s="48"/>
    </row>
    <row r="133" spans="2:17" s="46" customFormat="1" ht="15" customHeight="1">
      <c r="B133" s="47"/>
      <c r="C133" s="48"/>
      <c r="D133" s="48"/>
      <c r="E133" s="48"/>
      <c r="F133" s="48"/>
      <c r="G133" s="48"/>
      <c r="H133" s="48"/>
      <c r="I133" s="48"/>
      <c r="J133" s="48"/>
      <c r="K133" s="48"/>
      <c r="L133" s="48"/>
      <c r="M133" s="48"/>
      <c r="N133" s="48"/>
      <c r="O133" s="48"/>
      <c r="P133" s="48"/>
      <c r="Q133" s="48"/>
    </row>
    <row r="134" spans="2:17" s="46" customFormat="1" ht="15" customHeight="1">
      <c r="B134" s="47"/>
      <c r="C134" s="48"/>
      <c r="D134" s="48"/>
      <c r="E134" s="48"/>
      <c r="F134" s="48"/>
      <c r="G134" s="48"/>
      <c r="H134" s="48"/>
      <c r="I134" s="48"/>
      <c r="J134" s="48"/>
      <c r="K134" s="48"/>
      <c r="L134" s="48"/>
      <c r="M134" s="48"/>
      <c r="N134" s="48"/>
      <c r="O134" s="48"/>
      <c r="P134" s="48"/>
      <c r="Q134" s="48"/>
    </row>
    <row r="135" spans="2:17" s="46" customFormat="1" ht="15" customHeight="1">
      <c r="B135" s="47"/>
      <c r="C135" s="48"/>
      <c r="D135" s="48"/>
      <c r="E135" s="48"/>
      <c r="F135" s="48"/>
      <c r="G135" s="48"/>
      <c r="H135" s="48"/>
      <c r="I135" s="48"/>
      <c r="J135" s="48"/>
      <c r="K135" s="48"/>
      <c r="L135" s="48"/>
      <c r="M135" s="48"/>
      <c r="N135" s="48"/>
      <c r="O135" s="48"/>
      <c r="P135" s="48"/>
      <c r="Q135" s="48"/>
    </row>
    <row r="136" spans="2:17" s="46" customFormat="1" ht="15" customHeight="1">
      <c r="B136" s="47"/>
      <c r="C136" s="48"/>
      <c r="D136" s="48"/>
      <c r="E136" s="48"/>
      <c r="F136" s="48"/>
      <c r="G136" s="48"/>
      <c r="H136" s="48"/>
      <c r="I136" s="48"/>
      <c r="J136" s="48"/>
      <c r="K136" s="48"/>
      <c r="L136" s="48"/>
      <c r="M136" s="48"/>
      <c r="N136" s="48"/>
      <c r="O136" s="48"/>
      <c r="P136" s="48"/>
      <c r="Q136" s="48"/>
    </row>
    <row r="137" spans="2:17" s="46" customFormat="1" ht="15" customHeight="1">
      <c r="B137" s="47"/>
      <c r="C137" s="48"/>
      <c r="D137" s="48"/>
      <c r="E137" s="48"/>
      <c r="F137" s="48"/>
      <c r="G137" s="48"/>
      <c r="H137" s="48"/>
      <c r="I137" s="48"/>
      <c r="J137" s="48"/>
      <c r="K137" s="48"/>
      <c r="L137" s="48"/>
      <c r="M137" s="48"/>
      <c r="N137" s="48"/>
      <c r="O137" s="48"/>
      <c r="P137" s="48"/>
      <c r="Q137" s="48"/>
    </row>
    <row r="138" spans="2:17" s="46" customFormat="1" ht="15" customHeight="1">
      <c r="B138" s="47"/>
      <c r="C138" s="48"/>
      <c r="D138" s="48"/>
      <c r="E138" s="48"/>
      <c r="F138" s="48"/>
      <c r="G138" s="48"/>
      <c r="H138" s="48"/>
      <c r="I138" s="48"/>
      <c r="J138" s="48"/>
      <c r="K138" s="48"/>
      <c r="L138" s="48"/>
      <c r="M138" s="48"/>
      <c r="N138" s="48"/>
      <c r="O138" s="48"/>
      <c r="P138" s="48"/>
      <c r="Q138" s="48"/>
    </row>
    <row r="139" spans="2:17" s="46" customFormat="1" ht="15" customHeight="1">
      <c r="B139" s="47"/>
      <c r="C139" s="48"/>
      <c r="D139" s="48"/>
      <c r="E139" s="48"/>
      <c r="F139" s="48"/>
      <c r="G139" s="48"/>
      <c r="H139" s="48"/>
      <c r="I139" s="48"/>
      <c r="J139" s="48"/>
      <c r="K139" s="48"/>
      <c r="L139" s="48"/>
      <c r="M139" s="48"/>
      <c r="N139" s="48"/>
      <c r="O139" s="48"/>
      <c r="P139" s="48"/>
      <c r="Q139" s="48"/>
    </row>
    <row r="140" spans="2:17" s="46" customFormat="1" ht="15" customHeight="1">
      <c r="B140" s="47"/>
      <c r="C140" s="48"/>
      <c r="D140" s="48"/>
      <c r="E140" s="48"/>
      <c r="F140" s="48"/>
      <c r="G140" s="48"/>
      <c r="H140" s="48"/>
      <c r="I140" s="48"/>
      <c r="J140" s="48"/>
      <c r="K140" s="48"/>
      <c r="L140" s="48"/>
      <c r="M140" s="48"/>
      <c r="N140" s="48"/>
      <c r="O140" s="48"/>
      <c r="P140" s="48"/>
      <c r="Q140" s="48"/>
    </row>
    <row r="141" spans="2:17" s="46" customFormat="1" ht="15" customHeight="1">
      <c r="B141" s="47"/>
      <c r="C141" s="48"/>
      <c r="D141" s="48"/>
      <c r="E141" s="48"/>
      <c r="F141" s="48"/>
      <c r="G141" s="48"/>
      <c r="H141" s="48"/>
      <c r="I141" s="48"/>
      <c r="J141" s="48"/>
      <c r="K141" s="48"/>
      <c r="L141" s="48"/>
      <c r="M141" s="48"/>
      <c r="N141" s="48"/>
      <c r="O141" s="48"/>
      <c r="P141" s="48"/>
      <c r="Q141" s="48"/>
    </row>
    <row r="142" spans="2:17" s="46" customFormat="1" ht="15" customHeight="1">
      <c r="B142" s="47"/>
      <c r="C142" s="48"/>
      <c r="D142" s="48"/>
      <c r="E142" s="48"/>
      <c r="F142" s="48"/>
      <c r="G142" s="48"/>
      <c r="H142" s="48"/>
      <c r="I142" s="48"/>
      <c r="J142" s="48"/>
      <c r="K142" s="48"/>
      <c r="L142" s="48"/>
      <c r="M142" s="48"/>
      <c r="N142" s="48"/>
      <c r="O142" s="48"/>
      <c r="P142" s="48"/>
      <c r="Q142" s="48"/>
    </row>
    <row r="143" spans="2:17" s="46" customFormat="1" ht="15" customHeight="1">
      <c r="B143" s="47"/>
      <c r="C143" s="48"/>
      <c r="D143" s="48"/>
      <c r="E143" s="48"/>
      <c r="F143" s="48"/>
      <c r="G143" s="48"/>
      <c r="H143" s="48"/>
      <c r="I143" s="48"/>
      <c r="J143" s="48"/>
      <c r="K143" s="48"/>
      <c r="L143" s="48"/>
      <c r="M143" s="48"/>
      <c r="N143" s="48"/>
      <c r="O143" s="48"/>
      <c r="P143" s="48"/>
      <c r="Q143" s="48"/>
    </row>
    <row r="144" spans="2:17" s="46" customFormat="1" ht="15" customHeight="1">
      <c r="B144" s="47"/>
      <c r="C144" s="48"/>
      <c r="D144" s="48"/>
      <c r="E144" s="48"/>
      <c r="F144" s="48"/>
      <c r="G144" s="48"/>
      <c r="H144" s="48"/>
      <c r="I144" s="48"/>
      <c r="J144" s="48"/>
      <c r="K144" s="48"/>
      <c r="L144" s="48"/>
      <c r="M144" s="48"/>
      <c r="N144" s="48"/>
      <c r="O144" s="48"/>
      <c r="P144" s="48"/>
      <c r="Q144" s="48"/>
    </row>
    <row r="145" spans="2:17" s="46" customFormat="1" ht="15" customHeight="1">
      <c r="B145" s="47"/>
      <c r="C145" s="48"/>
      <c r="D145" s="48"/>
      <c r="E145" s="48"/>
      <c r="F145" s="48"/>
      <c r="G145" s="48"/>
      <c r="H145" s="48"/>
      <c r="I145" s="48"/>
      <c r="J145" s="48"/>
      <c r="K145" s="48"/>
      <c r="L145" s="48"/>
      <c r="M145" s="48"/>
      <c r="N145" s="48"/>
      <c r="O145" s="48"/>
      <c r="P145" s="48"/>
      <c r="Q145" s="48"/>
    </row>
    <row r="146" spans="2:17" s="46" customFormat="1" ht="15" customHeight="1">
      <c r="B146" s="47"/>
      <c r="C146" s="48"/>
      <c r="D146" s="48"/>
      <c r="E146" s="48"/>
      <c r="F146" s="48"/>
      <c r="G146" s="48"/>
      <c r="H146" s="48"/>
      <c r="I146" s="48"/>
      <c r="J146" s="48"/>
      <c r="K146" s="48"/>
      <c r="L146" s="48"/>
      <c r="M146" s="48"/>
      <c r="N146" s="48"/>
      <c r="O146" s="48"/>
      <c r="P146" s="48"/>
      <c r="Q146" s="48"/>
    </row>
    <row r="147" spans="2:17" s="46" customFormat="1" ht="15" customHeight="1">
      <c r="B147" s="47"/>
      <c r="C147" s="48"/>
      <c r="D147" s="48"/>
      <c r="E147" s="48"/>
      <c r="F147" s="48"/>
      <c r="G147" s="48"/>
      <c r="H147" s="48"/>
      <c r="I147" s="48"/>
      <c r="J147" s="48"/>
      <c r="K147" s="48"/>
      <c r="L147" s="48"/>
      <c r="M147" s="48"/>
      <c r="N147" s="48"/>
      <c r="O147" s="48"/>
      <c r="P147" s="48"/>
      <c r="Q147" s="48"/>
    </row>
    <row r="148" spans="2:17" s="46" customFormat="1" ht="15" customHeight="1">
      <c r="B148" s="47"/>
      <c r="C148" s="48"/>
      <c r="D148" s="48"/>
      <c r="E148" s="48"/>
      <c r="F148" s="48"/>
      <c r="G148" s="48"/>
      <c r="H148" s="48"/>
      <c r="I148" s="48"/>
      <c r="J148" s="48"/>
      <c r="K148" s="48"/>
      <c r="L148" s="48"/>
      <c r="M148" s="48"/>
      <c r="N148" s="48"/>
      <c r="O148" s="48"/>
      <c r="P148" s="48"/>
      <c r="Q148" s="48"/>
    </row>
    <row r="149" spans="2:17" s="46" customFormat="1" ht="15" customHeight="1">
      <c r="B149" s="47"/>
      <c r="C149" s="48"/>
      <c r="D149" s="48"/>
      <c r="E149" s="48"/>
      <c r="F149" s="48"/>
      <c r="G149" s="48"/>
      <c r="H149" s="48"/>
      <c r="I149" s="48"/>
      <c r="J149" s="48"/>
      <c r="K149" s="48"/>
      <c r="L149" s="48"/>
      <c r="M149" s="48"/>
      <c r="N149" s="48"/>
      <c r="O149" s="48"/>
      <c r="P149" s="48"/>
      <c r="Q149" s="48"/>
    </row>
    <row r="150" spans="2:17" s="46" customFormat="1" ht="15" customHeight="1">
      <c r="B150" s="47"/>
      <c r="C150" s="48"/>
      <c r="D150" s="48"/>
      <c r="E150" s="48"/>
      <c r="F150" s="48"/>
      <c r="G150" s="48"/>
      <c r="H150" s="48"/>
      <c r="I150" s="48"/>
      <c r="J150" s="48"/>
      <c r="K150" s="48"/>
      <c r="L150" s="48"/>
      <c r="M150" s="48"/>
      <c r="N150" s="48"/>
      <c r="O150" s="48"/>
      <c r="P150" s="48"/>
      <c r="Q150" s="48"/>
    </row>
    <row r="151" spans="2:17" s="46" customFormat="1" ht="15" customHeight="1">
      <c r="B151" s="47"/>
      <c r="C151" s="48"/>
      <c r="D151" s="48"/>
      <c r="E151" s="48"/>
      <c r="F151" s="48"/>
      <c r="G151" s="48"/>
      <c r="H151" s="48"/>
      <c r="I151" s="48"/>
      <c r="J151" s="48"/>
      <c r="K151" s="48"/>
      <c r="L151" s="48"/>
      <c r="M151" s="48"/>
      <c r="N151" s="48"/>
      <c r="O151" s="48"/>
      <c r="P151" s="48"/>
      <c r="Q151" s="48"/>
    </row>
    <row r="152" spans="2:17" s="46" customFormat="1" ht="15" customHeight="1">
      <c r="B152" s="47"/>
      <c r="C152" s="48"/>
      <c r="D152" s="48"/>
      <c r="E152" s="48"/>
      <c r="F152" s="48"/>
      <c r="G152" s="48"/>
      <c r="H152" s="48"/>
      <c r="I152" s="48"/>
      <c r="J152" s="48"/>
      <c r="K152" s="48"/>
      <c r="L152" s="48"/>
      <c r="M152" s="48"/>
      <c r="N152" s="48"/>
      <c r="O152" s="48"/>
      <c r="P152" s="48"/>
      <c r="Q152" s="48"/>
    </row>
    <row r="153" spans="2:17" s="46" customFormat="1" ht="15" customHeight="1">
      <c r="B153" s="47"/>
      <c r="C153" s="48"/>
      <c r="D153" s="48"/>
      <c r="E153" s="48"/>
      <c r="F153" s="48"/>
      <c r="G153" s="48"/>
      <c r="H153" s="48"/>
      <c r="I153" s="48"/>
      <c r="J153" s="48"/>
      <c r="K153" s="48"/>
      <c r="L153" s="48"/>
      <c r="M153" s="48"/>
      <c r="N153" s="48"/>
      <c r="O153" s="48"/>
      <c r="P153" s="48"/>
      <c r="Q153" s="48"/>
    </row>
    <row r="154" spans="2:17" s="46" customFormat="1" ht="15" customHeight="1">
      <c r="B154" s="47"/>
      <c r="C154" s="48"/>
      <c r="D154" s="48"/>
      <c r="E154" s="48"/>
      <c r="F154" s="48"/>
      <c r="G154" s="48"/>
      <c r="H154" s="48"/>
      <c r="I154" s="48"/>
      <c r="J154" s="48"/>
      <c r="K154" s="48"/>
      <c r="L154" s="48"/>
      <c r="M154" s="48"/>
      <c r="N154" s="48"/>
      <c r="O154" s="48"/>
      <c r="P154" s="48"/>
      <c r="Q154" s="48"/>
    </row>
    <row r="155" spans="2:17" s="46" customFormat="1" ht="15" customHeight="1">
      <c r="B155" s="47"/>
      <c r="C155" s="48"/>
      <c r="D155" s="48"/>
      <c r="E155" s="48"/>
      <c r="F155" s="48"/>
      <c r="G155" s="48"/>
      <c r="H155" s="48"/>
      <c r="I155" s="48"/>
      <c r="J155" s="48"/>
      <c r="K155" s="48"/>
      <c r="L155" s="48"/>
      <c r="M155" s="48"/>
      <c r="N155" s="48"/>
      <c r="O155" s="48"/>
      <c r="P155" s="48"/>
      <c r="Q155" s="48"/>
    </row>
    <row r="156" spans="2:17" s="46" customFormat="1" ht="15" customHeight="1">
      <c r="B156" s="47"/>
      <c r="C156" s="48"/>
      <c r="D156" s="48"/>
      <c r="E156" s="48"/>
      <c r="F156" s="48"/>
      <c r="G156" s="48"/>
      <c r="H156" s="48"/>
      <c r="I156" s="48"/>
      <c r="J156" s="48"/>
      <c r="K156" s="48"/>
      <c r="L156" s="48"/>
      <c r="M156" s="48"/>
      <c r="N156" s="48"/>
      <c r="O156" s="48"/>
      <c r="P156" s="48"/>
      <c r="Q156" s="48"/>
    </row>
    <row r="157" spans="2:17" s="46" customFormat="1" ht="15" customHeight="1">
      <c r="B157" s="47"/>
      <c r="C157" s="48"/>
      <c r="D157" s="48"/>
      <c r="E157" s="48"/>
      <c r="F157" s="48"/>
      <c r="G157" s="48"/>
      <c r="H157" s="48"/>
      <c r="I157" s="48"/>
      <c r="J157" s="48"/>
      <c r="K157" s="48"/>
      <c r="L157" s="48"/>
      <c r="M157" s="48"/>
      <c r="N157" s="48"/>
      <c r="O157" s="48"/>
      <c r="P157" s="48"/>
      <c r="Q157" s="48"/>
    </row>
    <row r="158" spans="2:17" s="46" customFormat="1" ht="15" customHeight="1">
      <c r="B158" s="47"/>
      <c r="C158" s="48"/>
      <c r="D158" s="48"/>
      <c r="E158" s="48"/>
      <c r="F158" s="48"/>
      <c r="G158" s="48"/>
      <c r="H158" s="48"/>
      <c r="I158" s="48"/>
      <c r="J158" s="48"/>
      <c r="K158" s="48"/>
      <c r="L158" s="48"/>
      <c r="M158" s="48"/>
      <c r="N158" s="48"/>
      <c r="O158" s="48"/>
      <c r="P158" s="48"/>
      <c r="Q158" s="48"/>
    </row>
    <row r="159" spans="2:17" s="46" customFormat="1" ht="15" customHeight="1">
      <c r="B159" s="47"/>
      <c r="C159" s="48"/>
      <c r="D159" s="48"/>
      <c r="E159" s="48"/>
      <c r="F159" s="48"/>
      <c r="G159" s="48"/>
      <c r="H159" s="48"/>
      <c r="I159" s="48"/>
      <c r="J159" s="48"/>
      <c r="K159" s="48"/>
      <c r="L159" s="48"/>
      <c r="M159" s="48"/>
      <c r="N159" s="48"/>
      <c r="O159" s="48"/>
      <c r="P159" s="48"/>
      <c r="Q159" s="48"/>
    </row>
    <row r="160" spans="2:17" s="46" customFormat="1" ht="15" customHeight="1">
      <c r="B160" s="47"/>
      <c r="C160" s="48"/>
      <c r="D160" s="48"/>
      <c r="E160" s="48"/>
      <c r="F160" s="48"/>
      <c r="G160" s="48"/>
      <c r="H160" s="48"/>
      <c r="I160" s="48"/>
      <c r="J160" s="48"/>
      <c r="K160" s="48"/>
      <c r="L160" s="48"/>
      <c r="M160" s="48"/>
      <c r="N160" s="48"/>
      <c r="O160" s="48"/>
      <c r="P160" s="48"/>
      <c r="Q160" s="48"/>
    </row>
    <row r="161" spans="2:17" s="46" customFormat="1" ht="15" customHeight="1">
      <c r="B161" s="47"/>
      <c r="C161" s="48"/>
      <c r="D161" s="48"/>
      <c r="E161" s="48"/>
      <c r="F161" s="48"/>
      <c r="G161" s="48"/>
      <c r="H161" s="48"/>
      <c r="I161" s="48"/>
      <c r="J161" s="48"/>
      <c r="K161" s="48"/>
      <c r="L161" s="48"/>
      <c r="M161" s="48"/>
      <c r="N161" s="48"/>
      <c r="O161" s="48"/>
      <c r="P161" s="48"/>
      <c r="Q161" s="48"/>
    </row>
    <row r="162" spans="2:17" s="46" customFormat="1" ht="15" customHeight="1">
      <c r="B162" s="47"/>
      <c r="C162" s="48"/>
      <c r="D162" s="48"/>
      <c r="E162" s="48"/>
      <c r="F162" s="48"/>
      <c r="G162" s="48"/>
      <c r="H162" s="48"/>
      <c r="I162" s="48"/>
      <c r="J162" s="48"/>
      <c r="K162" s="48"/>
      <c r="L162" s="48"/>
      <c r="M162" s="48"/>
      <c r="N162" s="48"/>
      <c r="O162" s="48"/>
      <c r="P162" s="48"/>
      <c r="Q162" s="48"/>
    </row>
    <row r="163" spans="2:17" s="46" customFormat="1" ht="15" customHeight="1">
      <c r="B163" s="47"/>
      <c r="C163" s="48"/>
      <c r="D163" s="48"/>
      <c r="E163" s="48"/>
      <c r="F163" s="48"/>
      <c r="G163" s="48"/>
      <c r="H163" s="48"/>
      <c r="I163" s="48"/>
      <c r="J163" s="48"/>
      <c r="K163" s="48"/>
      <c r="L163" s="48"/>
      <c r="M163" s="48"/>
      <c r="N163" s="48"/>
      <c r="O163" s="48"/>
      <c r="P163" s="48"/>
      <c r="Q163" s="48"/>
    </row>
    <row r="164" spans="2:17" s="46" customFormat="1" ht="15" customHeight="1">
      <c r="B164" s="47"/>
      <c r="C164" s="48"/>
      <c r="D164" s="48"/>
      <c r="E164" s="48"/>
      <c r="F164" s="48"/>
      <c r="G164" s="48"/>
      <c r="H164" s="48"/>
      <c r="I164" s="48"/>
      <c r="J164" s="48"/>
      <c r="K164" s="48"/>
      <c r="L164" s="48"/>
      <c r="M164" s="48"/>
      <c r="N164" s="48"/>
      <c r="O164" s="48"/>
      <c r="P164" s="48"/>
      <c r="Q164" s="48"/>
    </row>
    <row r="165" spans="2:17" s="46" customFormat="1" ht="15" customHeight="1">
      <c r="B165" s="47"/>
      <c r="C165" s="48"/>
      <c r="D165" s="48"/>
      <c r="E165" s="48"/>
      <c r="F165" s="48"/>
      <c r="G165" s="48"/>
      <c r="H165" s="48"/>
      <c r="I165" s="48"/>
      <c r="J165" s="48"/>
      <c r="K165" s="48"/>
      <c r="L165" s="48"/>
      <c r="M165" s="48"/>
      <c r="N165" s="48"/>
      <c r="O165" s="48"/>
      <c r="P165" s="48"/>
      <c r="Q165" s="48"/>
    </row>
    <row r="166" spans="2:17" s="46" customFormat="1" ht="15" customHeight="1">
      <c r="B166" s="47"/>
      <c r="C166" s="48"/>
      <c r="D166" s="48"/>
      <c r="E166" s="48"/>
      <c r="F166" s="48"/>
      <c r="G166" s="48"/>
      <c r="H166" s="48"/>
      <c r="I166" s="48"/>
      <c r="J166" s="48"/>
      <c r="K166" s="48"/>
      <c r="L166" s="48"/>
      <c r="M166" s="48"/>
      <c r="N166" s="48"/>
      <c r="O166" s="48"/>
      <c r="P166" s="48"/>
      <c r="Q166" s="48"/>
    </row>
    <row r="167" spans="2:17" s="46" customFormat="1" ht="15" customHeight="1">
      <c r="B167" s="47"/>
      <c r="C167" s="48"/>
      <c r="D167" s="48"/>
      <c r="E167" s="48"/>
      <c r="F167" s="48"/>
      <c r="G167" s="48"/>
      <c r="H167" s="48"/>
      <c r="I167" s="48"/>
      <c r="J167" s="48"/>
      <c r="K167" s="48"/>
      <c r="L167" s="48"/>
      <c r="M167" s="48"/>
      <c r="N167" s="48"/>
      <c r="O167" s="48"/>
      <c r="P167" s="48"/>
      <c r="Q167" s="48"/>
    </row>
    <row r="168" spans="2:17" s="46" customFormat="1" ht="15" customHeight="1">
      <c r="B168" s="47"/>
      <c r="C168" s="48"/>
      <c r="D168" s="48"/>
      <c r="E168" s="48"/>
      <c r="F168" s="48"/>
      <c r="G168" s="48"/>
      <c r="H168" s="48"/>
      <c r="I168" s="48"/>
      <c r="J168" s="48"/>
      <c r="K168" s="48"/>
      <c r="L168" s="48"/>
      <c r="M168" s="48"/>
      <c r="N168" s="48"/>
      <c r="O168" s="48"/>
      <c r="P168" s="48"/>
      <c r="Q168" s="48"/>
    </row>
    <row r="169" spans="2:17" s="46" customFormat="1" ht="15" customHeight="1">
      <c r="B169" s="47"/>
      <c r="C169" s="48"/>
      <c r="D169" s="48"/>
      <c r="E169" s="48"/>
      <c r="F169" s="48"/>
      <c r="G169" s="48"/>
      <c r="H169" s="48"/>
      <c r="I169" s="48"/>
      <c r="J169" s="48"/>
      <c r="K169" s="48"/>
      <c r="L169" s="48"/>
      <c r="M169" s="48"/>
      <c r="N169" s="48"/>
      <c r="O169" s="48"/>
      <c r="P169" s="48"/>
      <c r="Q169" s="48"/>
    </row>
    <row r="170" spans="2:17" s="46" customFormat="1" ht="15" customHeight="1">
      <c r="B170" s="47"/>
      <c r="C170" s="48"/>
      <c r="D170" s="48"/>
      <c r="E170" s="48"/>
      <c r="F170" s="48"/>
      <c r="G170" s="48"/>
      <c r="H170" s="48"/>
      <c r="I170" s="48"/>
      <c r="J170" s="48"/>
      <c r="K170" s="48"/>
      <c r="L170" s="48"/>
      <c r="M170" s="48"/>
      <c r="N170" s="48"/>
      <c r="O170" s="48"/>
      <c r="P170" s="48"/>
      <c r="Q170" s="48"/>
    </row>
    <row r="171" spans="2:17" s="46" customFormat="1" ht="15" customHeight="1">
      <c r="B171" s="47"/>
      <c r="C171" s="48"/>
      <c r="D171" s="48"/>
      <c r="E171" s="48"/>
      <c r="F171" s="48"/>
      <c r="G171" s="48"/>
      <c r="H171" s="48"/>
      <c r="I171" s="48"/>
      <c r="J171" s="48"/>
      <c r="K171" s="48"/>
      <c r="L171" s="48"/>
      <c r="M171" s="48"/>
      <c r="N171" s="48"/>
      <c r="O171" s="48"/>
      <c r="P171" s="48"/>
      <c r="Q171" s="48"/>
    </row>
    <row r="172" spans="2:17" s="46" customFormat="1" ht="15" customHeight="1">
      <c r="B172" s="47"/>
      <c r="C172" s="48"/>
      <c r="D172" s="48"/>
      <c r="E172" s="48"/>
      <c r="F172" s="48"/>
      <c r="G172" s="48"/>
      <c r="H172" s="48"/>
      <c r="I172" s="48"/>
      <c r="J172" s="48"/>
      <c r="K172" s="48"/>
      <c r="L172" s="48"/>
      <c r="M172" s="48"/>
      <c r="N172" s="48"/>
      <c r="O172" s="48"/>
      <c r="P172" s="48"/>
      <c r="Q172" s="48"/>
    </row>
    <row r="173" spans="2:17" s="46" customFormat="1" ht="15" customHeight="1">
      <c r="B173" s="47"/>
      <c r="C173" s="48"/>
      <c r="D173" s="48"/>
      <c r="E173" s="48"/>
      <c r="F173" s="48"/>
      <c r="G173" s="48"/>
      <c r="H173" s="48"/>
      <c r="I173" s="48"/>
      <c r="J173" s="48"/>
      <c r="K173" s="48"/>
      <c r="L173" s="48"/>
      <c r="M173" s="48"/>
      <c r="N173" s="48"/>
      <c r="O173" s="48"/>
      <c r="P173" s="48"/>
      <c r="Q173" s="48"/>
    </row>
    <row r="174" spans="2:17" s="46" customFormat="1" ht="15" customHeight="1">
      <c r="B174" s="47"/>
      <c r="C174" s="48"/>
      <c r="D174" s="48"/>
      <c r="E174" s="48"/>
      <c r="F174" s="48"/>
      <c r="G174" s="48"/>
      <c r="H174" s="48"/>
      <c r="I174" s="48"/>
      <c r="J174" s="48"/>
      <c r="K174" s="48"/>
      <c r="L174" s="48"/>
      <c r="M174" s="48"/>
      <c r="N174" s="48"/>
      <c r="O174" s="48"/>
      <c r="P174" s="48"/>
      <c r="Q174" s="48"/>
    </row>
    <row r="175" spans="2:17" s="46" customFormat="1" ht="15" customHeight="1">
      <c r="B175" s="47"/>
      <c r="C175" s="48"/>
      <c r="D175" s="48"/>
      <c r="E175" s="48"/>
      <c r="F175" s="48"/>
      <c r="G175" s="48"/>
      <c r="H175" s="48"/>
      <c r="I175" s="48"/>
      <c r="J175" s="48"/>
      <c r="K175" s="48"/>
      <c r="L175" s="48"/>
      <c r="M175" s="48"/>
      <c r="N175" s="48"/>
      <c r="O175" s="48"/>
      <c r="P175" s="48"/>
      <c r="Q175" s="48"/>
    </row>
    <row r="176" spans="2:17" s="46" customFormat="1" ht="15" customHeight="1">
      <c r="B176" s="47"/>
      <c r="C176" s="48"/>
      <c r="D176" s="48"/>
      <c r="E176" s="48"/>
      <c r="F176" s="48"/>
      <c r="G176" s="48"/>
      <c r="H176" s="48"/>
      <c r="I176" s="48"/>
      <c r="J176" s="48"/>
      <c r="K176" s="48"/>
      <c r="L176" s="48"/>
      <c r="M176" s="48"/>
      <c r="N176" s="48"/>
      <c r="O176" s="48"/>
      <c r="P176" s="48"/>
      <c r="Q176" s="48"/>
    </row>
    <row r="177" spans="2:17" s="46" customFormat="1" ht="15" customHeight="1">
      <c r="B177" s="47"/>
      <c r="C177" s="48"/>
      <c r="D177" s="48"/>
      <c r="E177" s="48"/>
      <c r="F177" s="48"/>
      <c r="G177" s="48"/>
      <c r="H177" s="48"/>
      <c r="I177" s="48"/>
      <c r="J177" s="48"/>
      <c r="K177" s="48"/>
      <c r="L177" s="48"/>
      <c r="M177" s="48"/>
      <c r="N177" s="48"/>
      <c r="O177" s="48"/>
      <c r="P177" s="48"/>
      <c r="Q177" s="48"/>
    </row>
    <row r="178" spans="2:17" s="46" customFormat="1" ht="15" customHeight="1">
      <c r="B178" s="47"/>
      <c r="C178" s="48"/>
      <c r="D178" s="48"/>
      <c r="E178" s="48"/>
      <c r="F178" s="48"/>
      <c r="G178" s="48"/>
      <c r="H178" s="48"/>
      <c r="I178" s="48"/>
      <c r="J178" s="48"/>
      <c r="K178" s="48"/>
      <c r="L178" s="48"/>
      <c r="M178" s="48"/>
      <c r="N178" s="48"/>
      <c r="O178" s="48"/>
      <c r="P178" s="48"/>
      <c r="Q178" s="48"/>
    </row>
    <row r="179" spans="2:17" s="46" customFormat="1" ht="15" customHeight="1">
      <c r="B179" s="47"/>
      <c r="C179" s="48"/>
      <c r="D179" s="48"/>
      <c r="E179" s="48"/>
      <c r="F179" s="48"/>
      <c r="G179" s="48"/>
      <c r="H179" s="48"/>
      <c r="I179" s="48"/>
      <c r="J179" s="48"/>
      <c r="K179" s="48"/>
      <c r="L179" s="48"/>
      <c r="M179" s="48"/>
      <c r="N179" s="48"/>
      <c r="O179" s="48"/>
      <c r="P179" s="48"/>
      <c r="Q179" s="48"/>
    </row>
    <row r="180" spans="2:17" s="46" customFormat="1" ht="15" customHeight="1">
      <c r="B180" s="47"/>
      <c r="C180" s="48"/>
      <c r="D180" s="48"/>
      <c r="E180" s="48"/>
      <c r="F180" s="48"/>
      <c r="G180" s="48"/>
      <c r="H180" s="48"/>
      <c r="I180" s="48"/>
      <c r="J180" s="48"/>
      <c r="K180" s="48"/>
      <c r="L180" s="48"/>
      <c r="M180" s="48"/>
      <c r="N180" s="48"/>
      <c r="O180" s="48"/>
      <c r="P180" s="48"/>
      <c r="Q180" s="48"/>
    </row>
    <row r="181" spans="2:17" s="46" customFormat="1" ht="15" customHeight="1">
      <c r="B181" s="47"/>
      <c r="C181" s="48"/>
      <c r="D181" s="48"/>
      <c r="E181" s="48"/>
      <c r="F181" s="48"/>
      <c r="G181" s="48"/>
      <c r="H181" s="48"/>
      <c r="I181" s="48"/>
      <c r="J181" s="48"/>
      <c r="K181" s="48"/>
      <c r="L181" s="48"/>
      <c r="M181" s="48"/>
      <c r="N181" s="48"/>
      <c r="O181" s="48"/>
      <c r="P181" s="48"/>
      <c r="Q181" s="48"/>
    </row>
    <row r="182" spans="2:17" s="46" customFormat="1" ht="15" customHeight="1">
      <c r="B182" s="47"/>
      <c r="C182" s="48"/>
      <c r="D182" s="48"/>
      <c r="E182" s="48"/>
      <c r="F182" s="48"/>
      <c r="G182" s="48"/>
      <c r="H182" s="48"/>
      <c r="I182" s="48"/>
      <c r="J182" s="48"/>
      <c r="K182" s="48"/>
      <c r="L182" s="48"/>
      <c r="M182" s="48"/>
      <c r="N182" s="48"/>
      <c r="O182" s="48"/>
      <c r="P182" s="48"/>
      <c r="Q182" s="48"/>
    </row>
    <row r="183" spans="2:17" s="46" customFormat="1" ht="15" customHeight="1">
      <c r="B183" s="47"/>
      <c r="C183" s="48"/>
      <c r="D183" s="48"/>
      <c r="E183" s="48"/>
      <c r="F183" s="48"/>
      <c r="G183" s="48"/>
      <c r="H183" s="48"/>
      <c r="I183" s="48"/>
      <c r="J183" s="48"/>
      <c r="K183" s="48"/>
      <c r="L183" s="48"/>
      <c r="M183" s="48"/>
      <c r="N183" s="48"/>
      <c r="O183" s="48"/>
      <c r="P183" s="48"/>
      <c r="Q183" s="48"/>
    </row>
    <row r="184" spans="2:17" s="46" customFormat="1" ht="15" customHeight="1">
      <c r="B184" s="47"/>
      <c r="C184" s="48"/>
      <c r="D184" s="48"/>
      <c r="E184" s="48"/>
      <c r="F184" s="48"/>
      <c r="G184" s="48"/>
      <c r="H184" s="48"/>
      <c r="I184" s="48"/>
      <c r="J184" s="48"/>
      <c r="K184" s="48"/>
      <c r="L184" s="48"/>
      <c r="M184" s="48"/>
      <c r="N184" s="48"/>
      <c r="O184" s="48"/>
      <c r="P184" s="48"/>
      <c r="Q184" s="48"/>
    </row>
    <row r="185" spans="2:17" s="46" customFormat="1" ht="15" customHeight="1">
      <c r="B185" s="47"/>
      <c r="C185" s="48"/>
      <c r="D185" s="48"/>
      <c r="E185" s="48"/>
      <c r="F185" s="48"/>
      <c r="G185" s="48"/>
      <c r="H185" s="48"/>
      <c r="I185" s="48"/>
      <c r="J185" s="48"/>
      <c r="K185" s="48"/>
      <c r="L185" s="48"/>
      <c r="M185" s="48"/>
      <c r="N185" s="48"/>
      <c r="O185" s="48"/>
      <c r="P185" s="48"/>
      <c r="Q185" s="48"/>
    </row>
    <row r="186" spans="2:17" s="46" customFormat="1" ht="15" customHeight="1">
      <c r="B186" s="47"/>
      <c r="C186" s="48"/>
      <c r="D186" s="48"/>
      <c r="E186" s="48"/>
      <c r="F186" s="48"/>
      <c r="G186" s="48"/>
      <c r="H186" s="48"/>
      <c r="I186" s="48"/>
      <c r="J186" s="48"/>
      <c r="K186" s="48"/>
      <c r="L186" s="48"/>
      <c r="M186" s="48"/>
      <c r="N186" s="48"/>
      <c r="O186" s="48"/>
      <c r="P186" s="48"/>
      <c r="Q186" s="48"/>
    </row>
    <row r="187" spans="2:17" s="46" customFormat="1" ht="15" customHeight="1">
      <c r="B187" s="47"/>
      <c r="C187" s="48"/>
      <c r="D187" s="48"/>
      <c r="E187" s="48"/>
      <c r="F187" s="48"/>
      <c r="G187" s="48"/>
      <c r="H187" s="48"/>
      <c r="I187" s="48"/>
      <c r="J187" s="48"/>
      <c r="K187" s="48"/>
      <c r="L187" s="48"/>
      <c r="M187" s="48"/>
      <c r="N187" s="48"/>
      <c r="O187" s="48"/>
      <c r="P187" s="48"/>
      <c r="Q187" s="48"/>
    </row>
    <row r="188" spans="2:17" s="46" customFormat="1" ht="15" customHeight="1">
      <c r="B188" s="47"/>
      <c r="C188" s="48"/>
      <c r="D188" s="48"/>
      <c r="E188" s="48"/>
      <c r="F188" s="48"/>
      <c r="G188" s="48"/>
      <c r="H188" s="48"/>
      <c r="I188" s="48"/>
      <c r="J188" s="48"/>
      <c r="K188" s="48"/>
      <c r="L188" s="48"/>
      <c r="M188" s="48"/>
      <c r="N188" s="48"/>
      <c r="O188" s="48"/>
      <c r="P188" s="48"/>
      <c r="Q188" s="48"/>
    </row>
    <row r="189" spans="2:17" s="46" customFormat="1" ht="15" customHeight="1">
      <c r="B189" s="47"/>
      <c r="C189" s="48"/>
      <c r="D189" s="48"/>
      <c r="E189" s="48"/>
      <c r="F189" s="48"/>
      <c r="G189" s="48"/>
      <c r="H189" s="48"/>
      <c r="I189" s="48"/>
      <c r="J189" s="48"/>
      <c r="K189" s="48"/>
      <c r="L189" s="48"/>
      <c r="M189" s="48"/>
      <c r="N189" s="48"/>
      <c r="O189" s="48"/>
      <c r="P189" s="48"/>
      <c r="Q189" s="48"/>
    </row>
    <row r="190" spans="2:17" s="46" customFormat="1" ht="15" customHeight="1">
      <c r="B190" s="47"/>
      <c r="C190" s="48"/>
      <c r="D190" s="48"/>
      <c r="E190" s="48"/>
      <c r="F190" s="48"/>
      <c r="G190" s="48"/>
      <c r="H190" s="48"/>
      <c r="I190" s="48"/>
      <c r="J190" s="48"/>
      <c r="K190" s="48"/>
      <c r="L190" s="48"/>
      <c r="M190" s="48"/>
      <c r="N190" s="48"/>
      <c r="O190" s="48"/>
      <c r="P190" s="48"/>
      <c r="Q190" s="48"/>
    </row>
    <row r="191" spans="2:17" s="46" customFormat="1" ht="15" customHeight="1">
      <c r="B191" s="47"/>
      <c r="C191" s="48"/>
      <c r="D191" s="48"/>
      <c r="E191" s="48"/>
      <c r="F191" s="48"/>
      <c r="G191" s="48"/>
      <c r="H191" s="48"/>
      <c r="I191" s="48"/>
      <c r="J191" s="48"/>
      <c r="K191" s="48"/>
      <c r="L191" s="48"/>
      <c r="M191" s="48"/>
      <c r="N191" s="48"/>
      <c r="O191" s="48"/>
      <c r="P191" s="48"/>
      <c r="Q191" s="48"/>
    </row>
    <row r="192" spans="2:17" s="46" customFormat="1" ht="15" customHeight="1">
      <c r="B192" s="47"/>
      <c r="C192" s="48"/>
      <c r="D192" s="48"/>
      <c r="E192" s="48"/>
      <c r="F192" s="48"/>
      <c r="G192" s="48"/>
      <c r="H192" s="48"/>
      <c r="I192" s="48"/>
      <c r="J192" s="48"/>
      <c r="K192" s="48"/>
      <c r="L192" s="48"/>
      <c r="M192" s="48"/>
      <c r="N192" s="48"/>
      <c r="O192" s="48"/>
      <c r="P192" s="48"/>
      <c r="Q192" s="48"/>
    </row>
    <row r="193" spans="2:17" s="46" customFormat="1" ht="15" customHeight="1">
      <c r="B193" s="47"/>
      <c r="C193" s="48"/>
      <c r="D193" s="48"/>
      <c r="E193" s="48"/>
      <c r="F193" s="48"/>
      <c r="G193" s="48"/>
      <c r="H193" s="48"/>
      <c r="I193" s="48"/>
      <c r="J193" s="48"/>
      <c r="K193" s="48"/>
      <c r="L193" s="48"/>
      <c r="M193" s="48"/>
      <c r="N193" s="48"/>
      <c r="O193" s="48"/>
      <c r="P193" s="48"/>
      <c r="Q193" s="48"/>
    </row>
    <row r="194" spans="2:17" s="46" customFormat="1" ht="15" customHeight="1">
      <c r="B194" s="47"/>
      <c r="C194" s="48"/>
      <c r="D194" s="48"/>
      <c r="E194" s="48"/>
      <c r="F194" s="48"/>
      <c r="G194" s="48"/>
      <c r="H194" s="48"/>
      <c r="I194" s="48"/>
      <c r="J194" s="48"/>
      <c r="K194" s="48"/>
      <c r="L194" s="48"/>
      <c r="M194" s="48"/>
      <c r="N194" s="48"/>
      <c r="O194" s="48"/>
      <c r="P194" s="48"/>
      <c r="Q194" s="48"/>
    </row>
    <row r="195" spans="2:17" s="46" customFormat="1" ht="15" customHeight="1">
      <c r="B195" s="47"/>
      <c r="C195" s="48"/>
      <c r="D195" s="48"/>
      <c r="E195" s="48"/>
      <c r="F195" s="48"/>
      <c r="G195" s="48"/>
      <c r="H195" s="48"/>
      <c r="I195" s="48"/>
      <c r="J195" s="48"/>
      <c r="K195" s="48"/>
      <c r="L195" s="48"/>
      <c r="M195" s="48"/>
      <c r="N195" s="48"/>
      <c r="O195" s="48"/>
      <c r="P195" s="48"/>
      <c r="Q195" s="48"/>
    </row>
    <row r="196" spans="2:17" s="46" customFormat="1" ht="15" customHeight="1">
      <c r="B196" s="47"/>
      <c r="C196" s="48"/>
      <c r="D196" s="48"/>
      <c r="E196" s="48"/>
      <c r="F196" s="48"/>
      <c r="G196" s="48"/>
      <c r="H196" s="48"/>
      <c r="I196" s="48"/>
      <c r="J196" s="48"/>
      <c r="K196" s="48"/>
      <c r="L196" s="48"/>
      <c r="M196" s="48"/>
      <c r="N196" s="48"/>
      <c r="O196" s="48"/>
      <c r="P196" s="48"/>
      <c r="Q196" s="48"/>
    </row>
    <row r="197" spans="2:17" s="46" customFormat="1" ht="15" customHeight="1">
      <c r="B197" s="47"/>
      <c r="C197" s="48"/>
      <c r="D197" s="48"/>
      <c r="E197" s="48"/>
      <c r="F197" s="48"/>
      <c r="G197" s="48"/>
      <c r="H197" s="48"/>
      <c r="I197" s="48"/>
      <c r="J197" s="48"/>
      <c r="K197" s="48"/>
      <c r="L197" s="48"/>
      <c r="M197" s="48"/>
      <c r="N197" s="48"/>
      <c r="O197" s="48"/>
      <c r="P197" s="48"/>
      <c r="Q197" s="48"/>
    </row>
    <row r="198" spans="2:17" s="46" customFormat="1" ht="15" customHeight="1">
      <c r="B198" s="47"/>
      <c r="C198" s="48"/>
      <c r="D198" s="48"/>
      <c r="E198" s="48"/>
      <c r="F198" s="48"/>
      <c r="G198" s="48"/>
      <c r="H198" s="48"/>
      <c r="I198" s="48"/>
      <c r="J198" s="48"/>
      <c r="K198" s="48"/>
      <c r="L198" s="48"/>
      <c r="M198" s="48"/>
      <c r="N198" s="48"/>
      <c r="O198" s="48"/>
      <c r="P198" s="48"/>
      <c r="Q198" s="48"/>
    </row>
    <row r="199" spans="2:17" s="46" customFormat="1" ht="15" customHeight="1">
      <c r="B199" s="47"/>
      <c r="C199" s="48"/>
      <c r="D199" s="48"/>
      <c r="E199" s="48"/>
      <c r="F199" s="48"/>
      <c r="G199" s="48"/>
      <c r="H199" s="48"/>
      <c r="I199" s="48"/>
      <c r="J199" s="48"/>
      <c r="K199" s="48"/>
      <c r="L199" s="48"/>
      <c r="M199" s="48"/>
      <c r="N199" s="48"/>
      <c r="O199" s="48"/>
      <c r="P199" s="48"/>
      <c r="Q199" s="48"/>
    </row>
    <row r="200" spans="2:17" s="46" customFormat="1" ht="15" customHeight="1">
      <c r="B200" s="47"/>
      <c r="C200" s="48"/>
      <c r="D200" s="48"/>
      <c r="E200" s="48"/>
      <c r="F200" s="48"/>
      <c r="G200" s="48"/>
      <c r="H200" s="48"/>
      <c r="I200" s="48"/>
      <c r="J200" s="48"/>
      <c r="K200" s="48"/>
      <c r="L200" s="48"/>
      <c r="M200" s="48"/>
      <c r="N200" s="48"/>
      <c r="O200" s="48"/>
      <c r="P200" s="48"/>
      <c r="Q200" s="48"/>
    </row>
    <row r="201" spans="2:17" s="46" customFormat="1" ht="15" customHeight="1">
      <c r="B201" s="47"/>
      <c r="C201" s="48"/>
      <c r="D201" s="48"/>
      <c r="E201" s="48"/>
      <c r="F201" s="48"/>
      <c r="G201" s="48"/>
      <c r="H201" s="48"/>
      <c r="I201" s="48"/>
      <c r="J201" s="48"/>
      <c r="K201" s="48"/>
      <c r="L201" s="48"/>
      <c r="M201" s="48"/>
      <c r="N201" s="48"/>
      <c r="O201" s="48"/>
      <c r="P201" s="48"/>
      <c r="Q201" s="48"/>
    </row>
    <row r="202" spans="2:17" s="46" customFormat="1" ht="15" customHeight="1">
      <c r="B202" s="47"/>
      <c r="C202" s="48"/>
      <c r="D202" s="48"/>
      <c r="E202" s="48"/>
      <c r="F202" s="48"/>
      <c r="G202" s="48"/>
      <c r="H202" s="48"/>
      <c r="I202" s="48"/>
      <c r="J202" s="48"/>
      <c r="K202" s="48"/>
      <c r="L202" s="48"/>
      <c r="M202" s="48"/>
      <c r="N202" s="48"/>
      <c r="O202" s="48"/>
      <c r="P202" s="48"/>
      <c r="Q202" s="48"/>
    </row>
    <row r="203" spans="2:17" s="46" customFormat="1" ht="15" customHeight="1">
      <c r="B203" s="47"/>
      <c r="C203" s="48"/>
      <c r="D203" s="48"/>
      <c r="E203" s="48"/>
      <c r="F203" s="48"/>
      <c r="G203" s="48"/>
      <c r="H203" s="48"/>
      <c r="I203" s="48"/>
      <c r="J203" s="48"/>
      <c r="K203" s="48"/>
      <c r="L203" s="48"/>
      <c r="M203" s="48"/>
      <c r="N203" s="48"/>
      <c r="O203" s="48"/>
      <c r="P203" s="48"/>
      <c r="Q203" s="48"/>
    </row>
    <row r="204" spans="2:17" s="46" customFormat="1" ht="15" customHeight="1">
      <c r="B204" s="47"/>
      <c r="C204" s="48"/>
      <c r="D204" s="48"/>
      <c r="E204" s="48"/>
      <c r="F204" s="48"/>
      <c r="G204" s="48"/>
      <c r="H204" s="48"/>
      <c r="I204" s="48"/>
      <c r="J204" s="48"/>
      <c r="K204" s="48"/>
      <c r="L204" s="48"/>
      <c r="M204" s="48"/>
      <c r="N204" s="48"/>
      <c r="O204" s="48"/>
      <c r="P204" s="48"/>
      <c r="Q204" s="48"/>
    </row>
    <row r="205" spans="2:17" s="46" customFormat="1" ht="15" customHeight="1">
      <c r="B205" s="47"/>
      <c r="C205" s="48"/>
      <c r="D205" s="48"/>
      <c r="E205" s="48"/>
      <c r="F205" s="48"/>
      <c r="G205" s="48"/>
      <c r="H205" s="48"/>
      <c r="I205" s="48"/>
      <c r="J205" s="48"/>
      <c r="K205" s="48"/>
      <c r="L205" s="48"/>
      <c r="M205" s="48"/>
      <c r="N205" s="48"/>
      <c r="O205" s="48"/>
      <c r="P205" s="48"/>
      <c r="Q205" s="48"/>
    </row>
    <row r="206" spans="2:17" s="46" customFormat="1" ht="15" customHeight="1">
      <c r="B206" s="47"/>
      <c r="C206" s="48"/>
      <c r="D206" s="48"/>
      <c r="E206" s="48"/>
      <c r="F206" s="48"/>
      <c r="G206" s="48"/>
      <c r="H206" s="48"/>
      <c r="I206" s="48"/>
      <c r="J206" s="48"/>
      <c r="K206" s="48"/>
      <c r="L206" s="48"/>
      <c r="M206" s="48"/>
      <c r="N206" s="48"/>
      <c r="O206" s="48"/>
      <c r="P206" s="48"/>
      <c r="Q206" s="48"/>
    </row>
    <row r="207" spans="2:17" s="46" customFormat="1" ht="15" customHeight="1">
      <c r="B207" s="47"/>
      <c r="C207" s="48"/>
      <c r="D207" s="48"/>
      <c r="E207" s="48"/>
      <c r="F207" s="48"/>
      <c r="G207" s="48"/>
      <c r="H207" s="48"/>
      <c r="I207" s="48"/>
      <c r="J207" s="48"/>
      <c r="K207" s="48"/>
      <c r="L207" s="48"/>
      <c r="M207" s="48"/>
      <c r="N207" s="48"/>
      <c r="O207" s="48"/>
      <c r="P207" s="48"/>
      <c r="Q207" s="48"/>
    </row>
    <row r="208" spans="2:17" s="46" customFormat="1" ht="15" customHeight="1">
      <c r="B208" s="47"/>
      <c r="C208" s="48"/>
      <c r="D208" s="48"/>
      <c r="E208" s="48"/>
      <c r="F208" s="48"/>
      <c r="G208" s="48"/>
      <c r="H208" s="48"/>
      <c r="I208" s="48"/>
      <c r="J208" s="48"/>
      <c r="K208" s="48"/>
      <c r="L208" s="48"/>
      <c r="M208" s="48"/>
      <c r="N208" s="48"/>
      <c r="O208" s="48"/>
      <c r="P208" s="48"/>
      <c r="Q208" s="48"/>
    </row>
    <row r="209" spans="2:17" s="46" customFormat="1" ht="15" customHeight="1">
      <c r="B209" s="47"/>
      <c r="C209" s="48"/>
      <c r="D209" s="48"/>
      <c r="E209" s="48"/>
      <c r="F209" s="48"/>
      <c r="G209" s="48"/>
      <c r="H209" s="48"/>
      <c r="I209" s="48"/>
      <c r="J209" s="48"/>
      <c r="K209" s="48"/>
      <c r="L209" s="48"/>
      <c r="M209" s="48"/>
      <c r="N209" s="48"/>
      <c r="O209" s="48"/>
      <c r="P209" s="48"/>
      <c r="Q209" s="48"/>
    </row>
    <row r="210" spans="2:17" s="46" customFormat="1" ht="15" customHeight="1">
      <c r="B210" s="47"/>
      <c r="C210" s="48"/>
      <c r="D210" s="48"/>
      <c r="E210" s="48"/>
      <c r="F210" s="48"/>
      <c r="G210" s="48"/>
      <c r="H210" s="48"/>
      <c r="I210" s="48"/>
      <c r="J210" s="48"/>
      <c r="K210" s="48"/>
      <c r="L210" s="48"/>
      <c r="M210" s="48"/>
      <c r="N210" s="48"/>
      <c r="O210" s="48"/>
      <c r="P210" s="48"/>
      <c r="Q210" s="48"/>
    </row>
    <row r="211" spans="2:17" s="46" customFormat="1" ht="15" customHeight="1">
      <c r="B211" s="47"/>
      <c r="C211" s="48"/>
      <c r="D211" s="48"/>
      <c r="E211" s="48"/>
      <c r="F211" s="48"/>
      <c r="G211" s="48"/>
      <c r="H211" s="48"/>
      <c r="I211" s="48"/>
      <c r="J211" s="48"/>
      <c r="K211" s="48"/>
      <c r="L211" s="48"/>
      <c r="M211" s="48"/>
      <c r="N211" s="48"/>
      <c r="O211" s="48"/>
      <c r="P211" s="48"/>
      <c r="Q211" s="48"/>
    </row>
    <row r="212" spans="2:17" s="46" customFormat="1" ht="15" customHeight="1">
      <c r="B212" s="47"/>
      <c r="C212" s="48"/>
      <c r="D212" s="48"/>
      <c r="E212" s="48"/>
      <c r="F212" s="48"/>
      <c r="G212" s="48"/>
      <c r="H212" s="48"/>
      <c r="I212" s="48"/>
      <c r="J212" s="48"/>
      <c r="K212" s="48"/>
      <c r="L212" s="48"/>
      <c r="M212" s="48"/>
      <c r="N212" s="48"/>
      <c r="O212" s="48"/>
      <c r="P212" s="48"/>
      <c r="Q212" s="48"/>
    </row>
    <row r="213" spans="2:17" s="46" customFormat="1" ht="15" customHeight="1">
      <c r="B213" s="47"/>
      <c r="C213" s="48"/>
      <c r="D213" s="48"/>
      <c r="E213" s="48"/>
      <c r="F213" s="48"/>
      <c r="G213" s="48"/>
      <c r="H213" s="48"/>
      <c r="I213" s="48"/>
      <c r="J213" s="48"/>
      <c r="K213" s="48"/>
      <c r="L213" s="48"/>
      <c r="M213" s="48"/>
      <c r="N213" s="48"/>
      <c r="O213" s="48"/>
      <c r="P213" s="48"/>
      <c r="Q213" s="48"/>
    </row>
    <row r="214" spans="2:17" s="46" customFormat="1" ht="15" customHeight="1">
      <c r="B214" s="47"/>
      <c r="C214" s="48"/>
      <c r="D214" s="48"/>
      <c r="E214" s="48"/>
      <c r="F214" s="48"/>
      <c r="G214" s="48"/>
      <c r="H214" s="48"/>
      <c r="I214" s="48"/>
      <c r="J214" s="48"/>
      <c r="K214" s="48"/>
      <c r="L214" s="48"/>
      <c r="M214" s="48"/>
      <c r="N214" s="48"/>
      <c r="O214" s="48"/>
      <c r="P214" s="48"/>
      <c r="Q214" s="48"/>
    </row>
    <row r="215" spans="2:17" s="46" customFormat="1" ht="15" customHeight="1">
      <c r="B215" s="47"/>
      <c r="C215" s="48"/>
      <c r="D215" s="48"/>
      <c r="E215" s="48"/>
      <c r="F215" s="48"/>
      <c r="G215" s="48"/>
      <c r="H215" s="48"/>
      <c r="I215" s="48"/>
      <c r="J215" s="48"/>
      <c r="K215" s="48"/>
      <c r="L215" s="48"/>
      <c r="M215" s="48"/>
      <c r="N215" s="48"/>
      <c r="O215" s="48"/>
      <c r="P215" s="48"/>
      <c r="Q215" s="48"/>
    </row>
    <row r="216" spans="2:17" s="46" customFormat="1" ht="15" customHeight="1">
      <c r="B216" s="47"/>
      <c r="C216" s="48"/>
      <c r="D216" s="48"/>
      <c r="E216" s="48"/>
      <c r="F216" s="48"/>
      <c r="G216" s="48"/>
      <c r="H216" s="48"/>
      <c r="I216" s="48"/>
      <c r="J216" s="48"/>
      <c r="K216" s="48"/>
      <c r="L216" s="48"/>
      <c r="M216" s="48"/>
      <c r="N216" s="48"/>
      <c r="O216" s="48"/>
      <c r="P216" s="48"/>
      <c r="Q216" s="48"/>
    </row>
    <row r="217" spans="2:17" s="46" customFormat="1" ht="15" customHeight="1">
      <c r="B217" s="47"/>
      <c r="C217" s="48"/>
      <c r="D217" s="48"/>
      <c r="E217" s="48"/>
      <c r="F217" s="48"/>
      <c r="G217" s="48"/>
      <c r="H217" s="48"/>
      <c r="I217" s="48"/>
      <c r="J217" s="48"/>
      <c r="K217" s="48"/>
      <c r="L217" s="48"/>
      <c r="M217" s="48"/>
      <c r="N217" s="48"/>
      <c r="O217" s="48"/>
      <c r="P217" s="48"/>
      <c r="Q217" s="48"/>
    </row>
    <row r="218" spans="2:17" s="46" customFormat="1" ht="15" customHeight="1">
      <c r="B218" s="47"/>
      <c r="C218" s="48"/>
      <c r="D218" s="48"/>
      <c r="E218" s="48"/>
      <c r="F218" s="48"/>
      <c r="G218" s="48"/>
      <c r="H218" s="48"/>
      <c r="I218" s="48"/>
      <c r="J218" s="48"/>
      <c r="K218" s="48"/>
      <c r="L218" s="48"/>
      <c r="M218" s="48"/>
      <c r="N218" s="48"/>
      <c r="O218" s="48"/>
      <c r="P218" s="48"/>
      <c r="Q218" s="48"/>
    </row>
    <row r="219" spans="2:17" s="46" customFormat="1" ht="15" customHeight="1">
      <c r="B219" s="47"/>
      <c r="C219" s="48"/>
      <c r="D219" s="48"/>
      <c r="E219" s="48"/>
      <c r="F219" s="48"/>
      <c r="G219" s="48"/>
      <c r="H219" s="48"/>
      <c r="I219" s="48"/>
      <c r="J219" s="48"/>
      <c r="K219" s="48"/>
      <c r="L219" s="48"/>
      <c r="M219" s="48"/>
      <c r="N219" s="48"/>
      <c r="O219" s="48"/>
      <c r="P219" s="48"/>
      <c r="Q219" s="48"/>
    </row>
    <row r="220" spans="2:17" s="46" customFormat="1" ht="15" customHeight="1">
      <c r="B220" s="47"/>
      <c r="C220" s="48"/>
      <c r="D220" s="48"/>
      <c r="E220" s="48"/>
      <c r="F220" s="48"/>
      <c r="G220" s="48"/>
      <c r="H220" s="48"/>
      <c r="I220" s="48"/>
      <c r="J220" s="48"/>
      <c r="K220" s="48"/>
      <c r="L220" s="48"/>
      <c r="M220" s="48"/>
      <c r="N220" s="48"/>
      <c r="O220" s="48"/>
      <c r="P220" s="48"/>
      <c r="Q220" s="48"/>
    </row>
    <row r="221" spans="2:17" s="46" customFormat="1" ht="15" customHeight="1">
      <c r="B221" s="47"/>
      <c r="C221" s="48"/>
      <c r="D221" s="48"/>
      <c r="E221" s="48"/>
      <c r="F221" s="48"/>
      <c r="G221" s="48"/>
      <c r="H221" s="48"/>
      <c r="I221" s="48"/>
      <c r="J221" s="48"/>
      <c r="K221" s="48"/>
      <c r="L221" s="48"/>
      <c r="M221" s="48"/>
      <c r="N221" s="48"/>
      <c r="O221" s="48"/>
      <c r="P221" s="48"/>
      <c r="Q221" s="48"/>
    </row>
    <row r="222" spans="2:17" s="46" customFormat="1" ht="15" customHeight="1">
      <c r="B222" s="47"/>
      <c r="C222" s="48"/>
      <c r="D222" s="48"/>
      <c r="E222" s="48"/>
      <c r="F222" s="48"/>
      <c r="G222" s="48"/>
      <c r="H222" s="48"/>
      <c r="I222" s="48"/>
      <c r="J222" s="48"/>
      <c r="K222" s="48"/>
      <c r="L222" s="48"/>
      <c r="M222" s="48"/>
      <c r="N222" s="48"/>
      <c r="O222" s="48"/>
      <c r="P222" s="48"/>
      <c r="Q222" s="48"/>
    </row>
    <row r="223" spans="2:17" s="46" customFormat="1" ht="15" customHeight="1">
      <c r="B223" s="47"/>
      <c r="C223" s="48"/>
      <c r="D223" s="48"/>
      <c r="E223" s="48"/>
      <c r="F223" s="48"/>
      <c r="G223" s="48"/>
      <c r="H223" s="48"/>
      <c r="I223" s="48"/>
      <c r="J223" s="48"/>
      <c r="K223" s="48"/>
      <c r="L223" s="48"/>
      <c r="M223" s="48"/>
      <c r="N223" s="48"/>
      <c r="O223" s="48"/>
      <c r="P223" s="48"/>
      <c r="Q223" s="48"/>
    </row>
    <row r="224" spans="2:17" s="46" customFormat="1" ht="15" customHeight="1">
      <c r="B224" s="47"/>
      <c r="C224" s="48"/>
      <c r="D224" s="48"/>
      <c r="E224" s="48"/>
      <c r="F224" s="48"/>
      <c r="G224" s="48"/>
      <c r="H224" s="48"/>
      <c r="I224" s="48"/>
      <c r="J224" s="48"/>
      <c r="K224" s="48"/>
      <c r="L224" s="48"/>
      <c r="M224" s="48"/>
      <c r="N224" s="48"/>
      <c r="O224" s="48"/>
      <c r="P224" s="48"/>
      <c r="Q224" s="48"/>
    </row>
    <row r="225" spans="2:17" s="46" customFormat="1" ht="15" customHeight="1">
      <c r="B225" s="47"/>
      <c r="C225" s="48"/>
      <c r="D225" s="48"/>
      <c r="E225" s="48"/>
      <c r="F225" s="48"/>
      <c r="G225" s="48"/>
      <c r="H225" s="48"/>
      <c r="I225" s="48"/>
      <c r="J225" s="48"/>
      <c r="K225" s="48"/>
      <c r="L225" s="48"/>
      <c r="M225" s="48"/>
      <c r="N225" s="48"/>
      <c r="O225" s="48"/>
      <c r="P225" s="48"/>
      <c r="Q225" s="48"/>
    </row>
    <row r="226" spans="2:17" s="46" customFormat="1" ht="15" customHeight="1">
      <c r="B226" s="47"/>
      <c r="C226" s="48"/>
      <c r="D226" s="48"/>
      <c r="E226" s="48"/>
      <c r="F226" s="48"/>
      <c r="G226" s="48"/>
      <c r="H226" s="48"/>
      <c r="I226" s="48"/>
      <c r="J226" s="48"/>
      <c r="K226" s="48"/>
      <c r="L226" s="48"/>
      <c r="M226" s="48"/>
      <c r="N226" s="48"/>
      <c r="O226" s="48"/>
      <c r="P226" s="48"/>
      <c r="Q226" s="48"/>
    </row>
    <row r="227" spans="2:17" s="46" customFormat="1" ht="15" customHeight="1">
      <c r="B227" s="47"/>
      <c r="C227" s="48"/>
      <c r="D227" s="48"/>
      <c r="E227" s="48"/>
      <c r="F227" s="48"/>
      <c r="G227" s="48"/>
      <c r="H227" s="48"/>
      <c r="I227" s="48"/>
      <c r="J227" s="48"/>
      <c r="K227" s="48"/>
      <c r="L227" s="48"/>
      <c r="M227" s="48"/>
      <c r="N227" s="48"/>
      <c r="O227" s="48"/>
      <c r="P227" s="48"/>
      <c r="Q227" s="48"/>
    </row>
    <row r="228" spans="2:17" s="46" customFormat="1" ht="15" customHeight="1">
      <c r="B228" s="47"/>
      <c r="C228" s="48"/>
      <c r="D228" s="48"/>
      <c r="E228" s="48"/>
      <c r="F228" s="48"/>
      <c r="G228" s="48"/>
      <c r="H228" s="48"/>
      <c r="I228" s="48"/>
      <c r="J228" s="48"/>
      <c r="K228" s="48"/>
      <c r="L228" s="48"/>
      <c r="M228" s="48"/>
      <c r="N228" s="48"/>
      <c r="O228" s="48"/>
      <c r="P228" s="48"/>
      <c r="Q228" s="48"/>
    </row>
    <row r="229" spans="2:17" s="46" customFormat="1" ht="15" customHeight="1">
      <c r="B229" s="47"/>
      <c r="C229" s="48"/>
      <c r="D229" s="48"/>
      <c r="E229" s="48"/>
      <c r="F229" s="48"/>
      <c r="G229" s="48"/>
      <c r="H229" s="48"/>
      <c r="I229" s="48"/>
      <c r="J229" s="48"/>
      <c r="K229" s="48"/>
      <c r="L229" s="48"/>
      <c r="M229" s="48"/>
      <c r="N229" s="48"/>
      <c r="O229" s="48"/>
      <c r="P229" s="48"/>
      <c r="Q229" s="48"/>
    </row>
    <row r="230" spans="2:17" s="46" customFormat="1" ht="15" customHeight="1">
      <c r="B230" s="47"/>
      <c r="C230" s="48"/>
      <c r="D230" s="48"/>
      <c r="E230" s="48"/>
      <c r="F230" s="48"/>
      <c r="G230" s="48"/>
      <c r="H230" s="48"/>
      <c r="I230" s="48"/>
      <c r="J230" s="48"/>
      <c r="K230" s="48"/>
      <c r="L230" s="48"/>
      <c r="M230" s="48"/>
      <c r="N230" s="48"/>
      <c r="O230" s="48"/>
      <c r="P230" s="48"/>
      <c r="Q230" s="48"/>
    </row>
    <row r="231" spans="2:17" s="46" customFormat="1" ht="15" customHeight="1">
      <c r="B231" s="47"/>
      <c r="C231" s="48"/>
      <c r="D231" s="48"/>
      <c r="E231" s="48"/>
      <c r="F231" s="48"/>
      <c r="G231" s="48"/>
      <c r="H231" s="48"/>
      <c r="I231" s="48"/>
      <c r="J231" s="48"/>
      <c r="K231" s="48"/>
      <c r="L231" s="48"/>
      <c r="M231" s="48"/>
      <c r="N231" s="48"/>
      <c r="O231" s="48"/>
      <c r="P231" s="48"/>
      <c r="Q231" s="48"/>
    </row>
    <row r="232" spans="2:17" s="46" customFormat="1" ht="15" customHeight="1">
      <c r="B232" s="47"/>
      <c r="C232" s="48"/>
      <c r="D232" s="48"/>
      <c r="E232" s="48"/>
      <c r="F232" s="48"/>
      <c r="G232" s="48"/>
      <c r="H232" s="48"/>
      <c r="I232" s="48"/>
      <c r="J232" s="48"/>
      <c r="K232" s="48"/>
      <c r="L232" s="48"/>
      <c r="M232" s="48"/>
      <c r="N232" s="48"/>
      <c r="O232" s="48"/>
      <c r="P232" s="48"/>
      <c r="Q232" s="48"/>
    </row>
    <row r="233" spans="2:17" s="46" customFormat="1" ht="15" customHeight="1">
      <c r="B233" s="47"/>
      <c r="C233" s="48"/>
      <c r="D233" s="48"/>
      <c r="E233" s="48"/>
      <c r="F233" s="48"/>
      <c r="G233" s="48"/>
      <c r="H233" s="48"/>
      <c r="I233" s="48"/>
      <c r="J233" s="48"/>
      <c r="K233" s="48"/>
      <c r="L233" s="48"/>
      <c r="M233" s="48"/>
      <c r="N233" s="48"/>
      <c r="O233" s="48"/>
      <c r="P233" s="48"/>
      <c r="Q233" s="48"/>
    </row>
    <row r="234" spans="2:17" s="46" customFormat="1" ht="15" customHeight="1">
      <c r="B234" s="47"/>
      <c r="C234" s="48"/>
      <c r="D234" s="48"/>
      <c r="E234" s="48"/>
      <c r="F234" s="48"/>
      <c r="G234" s="48"/>
      <c r="H234" s="48"/>
      <c r="I234" s="48"/>
      <c r="J234" s="48"/>
      <c r="K234" s="48"/>
      <c r="L234" s="48"/>
      <c r="M234" s="48"/>
      <c r="N234" s="48"/>
      <c r="O234" s="48"/>
      <c r="P234" s="48"/>
      <c r="Q234" s="48"/>
    </row>
    <row r="235" spans="2:17" s="46" customFormat="1" ht="15" customHeight="1">
      <c r="B235" s="47"/>
      <c r="C235" s="48"/>
      <c r="D235" s="48"/>
      <c r="E235" s="48"/>
      <c r="F235" s="48"/>
      <c r="G235" s="48"/>
      <c r="H235" s="48"/>
      <c r="I235" s="48"/>
      <c r="J235" s="48"/>
      <c r="K235" s="48"/>
      <c r="L235" s="48"/>
      <c r="M235" s="48"/>
      <c r="N235" s="48"/>
      <c r="O235" s="48"/>
      <c r="P235" s="48"/>
      <c r="Q235" s="48"/>
    </row>
    <row r="236" spans="2:17" s="46" customFormat="1" ht="15" customHeight="1">
      <c r="B236" s="47"/>
      <c r="C236" s="48"/>
      <c r="D236" s="48"/>
      <c r="E236" s="48"/>
      <c r="F236" s="48"/>
      <c r="G236" s="48"/>
      <c r="H236" s="48"/>
      <c r="I236" s="48"/>
      <c r="J236" s="48"/>
      <c r="K236" s="48"/>
      <c r="L236" s="48"/>
      <c r="M236" s="48"/>
      <c r="N236" s="48"/>
      <c r="O236" s="48"/>
      <c r="P236" s="48"/>
      <c r="Q236" s="48"/>
    </row>
    <row r="237" spans="2:17" s="46" customFormat="1" ht="15" customHeight="1">
      <c r="B237" s="47"/>
      <c r="C237" s="48"/>
      <c r="D237" s="48"/>
      <c r="E237" s="48"/>
      <c r="F237" s="48"/>
      <c r="G237" s="48"/>
      <c r="H237" s="48"/>
      <c r="I237" s="48"/>
      <c r="J237" s="48"/>
      <c r="K237" s="48"/>
      <c r="L237" s="48"/>
      <c r="M237" s="48"/>
      <c r="N237" s="48"/>
      <c r="O237" s="48"/>
      <c r="P237" s="48"/>
      <c r="Q237" s="48"/>
    </row>
    <row r="238" spans="2:17" s="46" customFormat="1" ht="15" customHeight="1">
      <c r="B238" s="47"/>
      <c r="C238" s="48"/>
      <c r="D238" s="48"/>
      <c r="E238" s="48"/>
      <c r="F238" s="48"/>
      <c r="G238" s="48"/>
      <c r="H238" s="48"/>
      <c r="I238" s="48"/>
      <c r="J238" s="48"/>
      <c r="K238" s="48"/>
      <c r="L238" s="48"/>
      <c r="M238" s="48"/>
      <c r="N238" s="48"/>
      <c r="O238" s="48"/>
      <c r="P238" s="48"/>
      <c r="Q238" s="48"/>
    </row>
    <row r="239" spans="2:17" s="46" customFormat="1" ht="15" customHeight="1">
      <c r="B239" s="47"/>
      <c r="C239" s="48"/>
      <c r="D239" s="48"/>
      <c r="E239" s="48"/>
      <c r="F239" s="48"/>
      <c r="G239" s="48"/>
      <c r="H239" s="48"/>
      <c r="I239" s="48"/>
      <c r="J239" s="48"/>
      <c r="K239" s="48"/>
      <c r="L239" s="48"/>
      <c r="M239" s="48"/>
      <c r="N239" s="48"/>
      <c r="O239" s="48"/>
      <c r="P239" s="48"/>
      <c r="Q239" s="48"/>
    </row>
    <row r="240" spans="2:17" s="46" customFormat="1" ht="15" customHeight="1">
      <c r="B240" s="47"/>
      <c r="C240" s="48"/>
      <c r="D240" s="48"/>
      <c r="E240" s="48"/>
      <c r="F240" s="48"/>
      <c r="G240" s="48"/>
      <c r="H240" s="48"/>
      <c r="I240" s="48"/>
      <c r="J240" s="48"/>
      <c r="K240" s="48"/>
      <c r="L240" s="48"/>
      <c r="M240" s="48"/>
      <c r="N240" s="48"/>
      <c r="O240" s="48"/>
      <c r="P240" s="48"/>
      <c r="Q240" s="48"/>
    </row>
    <row r="241" spans="2:17" s="46" customFormat="1" ht="15" customHeight="1">
      <c r="B241" s="47"/>
      <c r="C241" s="48"/>
      <c r="D241" s="48"/>
      <c r="E241" s="48"/>
      <c r="F241" s="48"/>
      <c r="G241" s="48"/>
      <c r="H241" s="48"/>
      <c r="I241" s="48"/>
      <c r="J241" s="48"/>
      <c r="K241" s="48"/>
      <c r="L241" s="48"/>
      <c r="M241" s="48"/>
      <c r="N241" s="48"/>
      <c r="O241" s="48"/>
      <c r="P241" s="48"/>
      <c r="Q241" s="48"/>
    </row>
    <row r="242" spans="2:17" s="46" customFormat="1" ht="15" customHeight="1">
      <c r="B242" s="47"/>
      <c r="C242" s="48"/>
      <c r="D242" s="48"/>
      <c r="E242" s="48"/>
      <c r="F242" s="48"/>
      <c r="G242" s="48"/>
      <c r="H242" s="48"/>
      <c r="I242" s="48"/>
      <c r="J242" s="48"/>
      <c r="K242" s="48"/>
      <c r="L242" s="48"/>
      <c r="M242" s="48"/>
      <c r="N242" s="48"/>
      <c r="O242" s="48"/>
      <c r="P242" s="48"/>
      <c r="Q242" s="48"/>
    </row>
    <row r="243" spans="2:17" s="46" customFormat="1" ht="15" customHeight="1">
      <c r="B243" s="47"/>
      <c r="C243" s="48"/>
      <c r="D243" s="48"/>
      <c r="E243" s="48"/>
      <c r="F243" s="48"/>
      <c r="G243" s="48"/>
      <c r="H243" s="48"/>
      <c r="I243" s="48"/>
      <c r="J243" s="48"/>
      <c r="K243" s="48"/>
      <c r="L243" s="48"/>
      <c r="M243" s="48"/>
      <c r="N243" s="48"/>
      <c r="O243" s="48"/>
      <c r="P243" s="48"/>
      <c r="Q243" s="48"/>
    </row>
    <row r="244" spans="2:17" s="46" customFormat="1" ht="15" customHeight="1">
      <c r="B244" s="47"/>
      <c r="C244" s="48"/>
      <c r="D244" s="48"/>
      <c r="E244" s="48"/>
      <c r="F244" s="48"/>
      <c r="G244" s="48"/>
      <c r="H244" s="48"/>
      <c r="I244" s="48"/>
      <c r="J244" s="48"/>
      <c r="K244" s="48"/>
      <c r="L244" s="48"/>
      <c r="M244" s="48"/>
      <c r="N244" s="48"/>
      <c r="O244" s="48"/>
      <c r="P244" s="48"/>
      <c r="Q244" s="48"/>
    </row>
    <row r="245" spans="2:17" s="46" customFormat="1" ht="15" customHeight="1">
      <c r="B245" s="47"/>
      <c r="C245" s="48"/>
      <c r="D245" s="48"/>
      <c r="E245" s="48"/>
      <c r="F245" s="48"/>
      <c r="G245" s="48"/>
      <c r="H245" s="48"/>
      <c r="I245" s="48"/>
      <c r="J245" s="48"/>
      <c r="K245" s="48"/>
      <c r="L245" s="48"/>
      <c r="M245" s="48"/>
      <c r="N245" s="48"/>
      <c r="O245" s="48"/>
      <c r="P245" s="48"/>
      <c r="Q245" s="48"/>
    </row>
    <row r="246" spans="2:17" s="46" customFormat="1" ht="15" customHeight="1">
      <c r="B246" s="47"/>
      <c r="C246" s="48"/>
      <c r="D246" s="48"/>
      <c r="E246" s="48"/>
      <c r="F246" s="48"/>
      <c r="G246" s="48"/>
      <c r="H246" s="48"/>
      <c r="I246" s="48"/>
      <c r="J246" s="48"/>
      <c r="K246" s="48"/>
      <c r="L246" s="48"/>
      <c r="M246" s="48"/>
      <c r="N246" s="48"/>
      <c r="O246" s="48"/>
      <c r="P246" s="48"/>
      <c r="Q246" s="48"/>
    </row>
    <row r="247" spans="2:17" s="46" customFormat="1" ht="15" customHeight="1">
      <c r="B247" s="47"/>
      <c r="C247" s="48"/>
      <c r="D247" s="48"/>
      <c r="E247" s="48"/>
      <c r="F247" s="48"/>
      <c r="G247" s="48"/>
      <c r="H247" s="48"/>
      <c r="I247" s="48"/>
      <c r="J247" s="48"/>
      <c r="K247" s="48"/>
      <c r="L247" s="48"/>
      <c r="M247" s="48"/>
      <c r="N247" s="48"/>
      <c r="O247" s="48"/>
      <c r="P247" s="48"/>
      <c r="Q247" s="48"/>
    </row>
    <row r="248" spans="2:17" s="46" customFormat="1" ht="15" customHeight="1">
      <c r="B248" s="47"/>
      <c r="C248" s="48"/>
      <c r="D248" s="48"/>
      <c r="E248" s="48"/>
      <c r="F248" s="48"/>
      <c r="G248" s="48"/>
      <c r="H248" s="48"/>
      <c r="I248" s="48"/>
      <c r="J248" s="48"/>
      <c r="K248" s="48"/>
      <c r="L248" s="48"/>
      <c r="M248" s="48"/>
      <c r="N248" s="48"/>
      <c r="O248" s="48"/>
      <c r="P248" s="48"/>
      <c r="Q248" s="48"/>
    </row>
    <row r="249" spans="2:17" s="46" customFormat="1" ht="15" customHeight="1">
      <c r="B249" s="47"/>
      <c r="C249" s="48"/>
      <c r="D249" s="48"/>
      <c r="E249" s="48"/>
      <c r="F249" s="48"/>
      <c r="G249" s="48"/>
      <c r="H249" s="48"/>
      <c r="I249" s="48"/>
      <c r="J249" s="48"/>
      <c r="K249" s="48"/>
      <c r="L249" s="48"/>
      <c r="M249" s="48"/>
      <c r="N249" s="48"/>
      <c r="O249" s="48"/>
      <c r="P249" s="48"/>
      <c r="Q249" s="48"/>
    </row>
    <row r="250" spans="2:17" s="46" customFormat="1" ht="15" customHeight="1">
      <c r="B250" s="47"/>
      <c r="C250" s="48"/>
      <c r="D250" s="48"/>
      <c r="E250" s="48"/>
      <c r="F250" s="48"/>
      <c r="G250" s="48"/>
      <c r="H250" s="48"/>
      <c r="I250" s="48"/>
      <c r="J250" s="48"/>
      <c r="K250" s="48"/>
      <c r="L250" s="48"/>
      <c r="M250" s="48"/>
      <c r="N250" s="48"/>
      <c r="O250" s="48"/>
      <c r="P250" s="48"/>
      <c r="Q250" s="48"/>
    </row>
    <row r="251" spans="2:17" s="46" customFormat="1" ht="15" customHeight="1">
      <c r="B251" s="47"/>
      <c r="C251" s="48"/>
      <c r="D251" s="48"/>
      <c r="E251" s="48"/>
      <c r="F251" s="48"/>
      <c r="G251" s="48"/>
      <c r="H251" s="48"/>
      <c r="I251" s="48"/>
      <c r="J251" s="48"/>
      <c r="K251" s="48"/>
      <c r="L251" s="48"/>
      <c r="M251" s="48"/>
      <c r="N251" s="48"/>
      <c r="O251" s="48"/>
      <c r="P251" s="48"/>
      <c r="Q251" s="48"/>
    </row>
    <row r="252" spans="2:17" s="46" customFormat="1" ht="15" customHeight="1">
      <c r="B252" s="47"/>
      <c r="C252" s="48"/>
      <c r="D252" s="48"/>
      <c r="E252" s="48"/>
      <c r="F252" s="48"/>
      <c r="G252" s="48"/>
      <c r="H252" s="48"/>
      <c r="I252" s="48"/>
      <c r="J252" s="48"/>
      <c r="K252" s="48"/>
      <c r="L252" s="48"/>
      <c r="M252" s="48"/>
      <c r="N252" s="48"/>
      <c r="O252" s="48"/>
      <c r="P252" s="48"/>
      <c r="Q252" s="48"/>
    </row>
    <row r="253" spans="2:17" s="46" customFormat="1" ht="15" customHeight="1">
      <c r="B253" s="47"/>
      <c r="C253" s="48"/>
      <c r="D253" s="48"/>
      <c r="E253" s="48"/>
      <c r="F253" s="48"/>
      <c r="G253" s="48"/>
      <c r="H253" s="48"/>
      <c r="I253" s="48"/>
      <c r="J253" s="48"/>
      <c r="K253" s="48"/>
      <c r="L253" s="48"/>
      <c r="M253" s="48"/>
      <c r="N253" s="48"/>
      <c r="O253" s="48"/>
      <c r="P253" s="48"/>
      <c r="Q253" s="48"/>
    </row>
    <row r="254" spans="2:17" s="46" customFormat="1" ht="15" customHeight="1">
      <c r="B254" s="47"/>
      <c r="C254" s="48"/>
      <c r="D254" s="48"/>
      <c r="E254" s="48"/>
      <c r="F254" s="48"/>
      <c r="G254" s="48"/>
      <c r="H254" s="48"/>
      <c r="I254" s="48"/>
      <c r="J254" s="48"/>
      <c r="K254" s="48"/>
      <c r="L254" s="48"/>
      <c r="M254" s="48"/>
      <c r="N254" s="48"/>
      <c r="O254" s="48"/>
      <c r="P254" s="48"/>
      <c r="Q254" s="48"/>
    </row>
    <row r="255" spans="2:17" s="46" customFormat="1" ht="15" customHeight="1">
      <c r="B255" s="47"/>
      <c r="C255" s="48"/>
      <c r="D255" s="48"/>
      <c r="E255" s="48"/>
      <c r="F255" s="48"/>
      <c r="G255" s="48"/>
      <c r="H255" s="48"/>
      <c r="I255" s="48"/>
      <c r="J255" s="48"/>
      <c r="K255" s="48"/>
      <c r="L255" s="48"/>
      <c r="M255" s="48"/>
      <c r="N255" s="48"/>
      <c r="O255" s="48"/>
      <c r="P255" s="48"/>
      <c r="Q255" s="48"/>
    </row>
    <row r="256" spans="2:17" s="46" customFormat="1" ht="15" customHeight="1">
      <c r="B256" s="47"/>
      <c r="C256" s="48"/>
      <c r="D256" s="48"/>
      <c r="E256" s="48"/>
      <c r="F256" s="48"/>
      <c r="G256" s="48"/>
      <c r="H256" s="48"/>
      <c r="I256" s="48"/>
      <c r="J256" s="48"/>
      <c r="K256" s="48"/>
      <c r="L256" s="48"/>
      <c r="M256" s="48"/>
      <c r="N256" s="48"/>
      <c r="O256" s="48"/>
      <c r="P256" s="48"/>
      <c r="Q256" s="48"/>
    </row>
    <row r="257" spans="2:17" s="46" customFormat="1" ht="15" customHeight="1">
      <c r="B257" s="47"/>
      <c r="C257" s="48"/>
      <c r="D257" s="48"/>
      <c r="E257" s="48"/>
      <c r="F257" s="48"/>
      <c r="G257" s="48"/>
      <c r="H257" s="48"/>
      <c r="I257" s="48"/>
      <c r="J257" s="48"/>
      <c r="K257" s="48"/>
      <c r="L257" s="48"/>
      <c r="M257" s="48"/>
      <c r="N257" s="48"/>
      <c r="O257" s="48"/>
      <c r="P257" s="48"/>
      <c r="Q257" s="48"/>
    </row>
    <row r="258" spans="2:17" s="46" customFormat="1" ht="15" customHeight="1">
      <c r="B258" s="47"/>
      <c r="C258" s="48"/>
      <c r="D258" s="48"/>
      <c r="E258" s="48"/>
      <c r="F258" s="48"/>
      <c r="G258" s="48"/>
      <c r="H258" s="48"/>
      <c r="I258" s="48"/>
      <c r="J258" s="48"/>
      <c r="K258" s="48"/>
      <c r="L258" s="48"/>
      <c r="M258" s="48"/>
      <c r="N258" s="48"/>
      <c r="O258" s="48"/>
      <c r="P258" s="48"/>
      <c r="Q258" s="48"/>
    </row>
    <row r="259" spans="2:17" s="46" customFormat="1" ht="15" customHeight="1">
      <c r="B259" s="47"/>
      <c r="C259" s="48"/>
      <c r="D259" s="48"/>
      <c r="E259" s="48"/>
      <c r="F259" s="48"/>
      <c r="G259" s="48"/>
      <c r="H259" s="48"/>
      <c r="I259" s="48"/>
      <c r="J259" s="48"/>
      <c r="K259" s="48"/>
      <c r="L259" s="48"/>
      <c r="M259" s="48"/>
      <c r="N259" s="48"/>
      <c r="O259" s="48"/>
      <c r="P259" s="48"/>
      <c r="Q259" s="48"/>
    </row>
    <row r="260" spans="2:17" s="46" customFormat="1" ht="15" customHeight="1">
      <c r="B260" s="47"/>
      <c r="C260" s="48"/>
      <c r="D260" s="48"/>
      <c r="E260" s="48"/>
      <c r="F260" s="48"/>
      <c r="G260" s="48"/>
      <c r="H260" s="48"/>
      <c r="I260" s="48"/>
      <c r="J260" s="48"/>
      <c r="K260" s="48"/>
      <c r="L260" s="48"/>
      <c r="M260" s="48"/>
      <c r="N260" s="48"/>
      <c r="O260" s="48"/>
      <c r="P260" s="48"/>
      <c r="Q260" s="48"/>
    </row>
    <row r="261" spans="2:17" s="46" customFormat="1" ht="15" customHeight="1">
      <c r="B261" s="47"/>
      <c r="C261" s="48"/>
      <c r="D261" s="48"/>
      <c r="E261" s="48"/>
      <c r="F261" s="48"/>
      <c r="G261" s="48"/>
      <c r="H261" s="48"/>
      <c r="I261" s="48"/>
      <c r="J261" s="48"/>
      <c r="K261" s="48"/>
      <c r="L261" s="48"/>
      <c r="M261" s="48"/>
      <c r="N261" s="48"/>
      <c r="O261" s="48"/>
      <c r="P261" s="48"/>
      <c r="Q261" s="48"/>
    </row>
    <row r="262" spans="2:17" s="46" customFormat="1" ht="15" customHeight="1">
      <c r="B262" s="47"/>
      <c r="C262" s="48"/>
      <c r="D262" s="48"/>
      <c r="E262" s="48"/>
      <c r="F262" s="48"/>
      <c r="G262" s="48"/>
      <c r="H262" s="48"/>
      <c r="I262" s="48"/>
      <c r="J262" s="48"/>
      <c r="K262" s="48"/>
      <c r="L262" s="48"/>
      <c r="M262" s="48"/>
      <c r="N262" s="48"/>
      <c r="O262" s="48"/>
      <c r="P262" s="48"/>
      <c r="Q262" s="48"/>
    </row>
    <row r="263" spans="2:17" s="46" customFormat="1" ht="15" customHeight="1">
      <c r="B263" s="47"/>
      <c r="C263" s="48"/>
      <c r="D263" s="48"/>
      <c r="E263" s="48"/>
      <c r="F263" s="48"/>
      <c r="G263" s="48"/>
      <c r="H263" s="48"/>
      <c r="I263" s="48"/>
      <c r="J263" s="48"/>
      <c r="K263" s="48"/>
      <c r="L263" s="48"/>
      <c r="M263" s="48"/>
      <c r="N263" s="48"/>
      <c r="O263" s="48"/>
      <c r="P263" s="48"/>
      <c r="Q263" s="48"/>
    </row>
    <row r="264" spans="2:17" s="46" customFormat="1" ht="15" customHeight="1">
      <c r="B264" s="47"/>
      <c r="C264" s="48"/>
      <c r="D264" s="48"/>
      <c r="E264" s="48"/>
      <c r="F264" s="48"/>
      <c r="G264" s="48"/>
      <c r="H264" s="48"/>
      <c r="I264" s="48"/>
      <c r="J264" s="48"/>
      <c r="K264" s="48"/>
      <c r="L264" s="48"/>
      <c r="M264" s="48"/>
      <c r="N264" s="48"/>
      <c r="O264" s="48"/>
      <c r="P264" s="48"/>
      <c r="Q264" s="48"/>
    </row>
    <row r="265" spans="2:17" s="46" customFormat="1" ht="15" customHeight="1">
      <c r="B265" s="47"/>
      <c r="C265" s="48"/>
      <c r="D265" s="48"/>
      <c r="E265" s="48"/>
      <c r="F265" s="48"/>
      <c r="G265" s="48"/>
      <c r="H265" s="48"/>
      <c r="I265" s="48"/>
      <c r="J265" s="48"/>
      <c r="K265" s="48"/>
      <c r="L265" s="48"/>
      <c r="M265" s="48"/>
      <c r="N265" s="48"/>
      <c r="O265" s="48"/>
      <c r="P265" s="48"/>
      <c r="Q265" s="48"/>
    </row>
    <row r="266" spans="2:17" s="46" customFormat="1" ht="15" customHeight="1">
      <c r="B266" s="47"/>
      <c r="C266" s="48"/>
      <c r="D266" s="48"/>
      <c r="E266" s="48"/>
      <c r="F266" s="48"/>
      <c r="G266" s="48"/>
      <c r="H266" s="48"/>
      <c r="I266" s="48"/>
      <c r="J266" s="48"/>
      <c r="K266" s="48"/>
      <c r="L266" s="48"/>
      <c r="M266" s="48"/>
      <c r="N266" s="48"/>
      <c r="O266" s="48"/>
      <c r="P266" s="48"/>
      <c r="Q266" s="48"/>
    </row>
    <row r="267" spans="2:17" s="46" customFormat="1" ht="15" customHeight="1">
      <c r="B267" s="47"/>
      <c r="C267" s="48"/>
      <c r="D267" s="48"/>
      <c r="E267" s="48"/>
      <c r="F267" s="48"/>
      <c r="G267" s="48"/>
      <c r="H267" s="48"/>
      <c r="I267" s="48"/>
      <c r="J267" s="48"/>
      <c r="K267" s="48"/>
      <c r="L267" s="48"/>
      <c r="M267" s="48"/>
      <c r="N267" s="48"/>
      <c r="O267" s="48"/>
      <c r="P267" s="48"/>
      <c r="Q267" s="48"/>
    </row>
    <row r="268" spans="2:17" s="46" customFormat="1" ht="15" customHeight="1">
      <c r="B268" s="47"/>
      <c r="C268" s="48"/>
      <c r="D268" s="48"/>
      <c r="E268" s="48"/>
      <c r="F268" s="48"/>
      <c r="G268" s="48"/>
      <c r="H268" s="48"/>
      <c r="I268" s="48"/>
      <c r="J268" s="48"/>
      <c r="K268" s="48"/>
      <c r="L268" s="48"/>
      <c r="M268" s="48"/>
      <c r="N268" s="48"/>
      <c r="O268" s="48"/>
      <c r="P268" s="48"/>
      <c r="Q268" s="48"/>
    </row>
    <row r="269" spans="2:17" s="46" customFormat="1" ht="15" customHeight="1">
      <c r="B269" s="47"/>
      <c r="C269" s="48"/>
      <c r="D269" s="48"/>
      <c r="E269" s="48"/>
      <c r="F269" s="48"/>
      <c r="G269" s="48"/>
      <c r="H269" s="48"/>
      <c r="I269" s="48"/>
      <c r="J269" s="48"/>
      <c r="K269" s="48"/>
      <c r="L269" s="48"/>
      <c r="M269" s="48"/>
      <c r="N269" s="48"/>
      <c r="O269" s="48"/>
      <c r="P269" s="48"/>
      <c r="Q269" s="48"/>
    </row>
    <row r="270" spans="2:17" s="46" customFormat="1" ht="15" customHeight="1">
      <c r="B270" s="47"/>
      <c r="C270" s="48"/>
      <c r="D270" s="48"/>
      <c r="E270" s="48"/>
      <c r="F270" s="48"/>
      <c r="G270" s="48"/>
      <c r="H270" s="48"/>
      <c r="I270" s="48"/>
      <c r="J270" s="48"/>
      <c r="K270" s="48"/>
      <c r="L270" s="48"/>
      <c r="M270" s="48"/>
      <c r="N270" s="48"/>
      <c r="O270" s="48"/>
      <c r="P270" s="48"/>
      <c r="Q270" s="48"/>
    </row>
    <row r="271" spans="2:17" s="46" customFormat="1" ht="15" customHeight="1">
      <c r="B271" s="47"/>
      <c r="C271" s="48"/>
      <c r="D271" s="48"/>
      <c r="E271" s="48"/>
      <c r="F271" s="48"/>
      <c r="G271" s="48"/>
      <c r="H271" s="48"/>
      <c r="I271" s="48"/>
      <c r="J271" s="48"/>
      <c r="K271" s="48"/>
      <c r="L271" s="48"/>
      <c r="M271" s="48"/>
      <c r="N271" s="48"/>
      <c r="O271" s="48"/>
      <c r="P271" s="48"/>
      <c r="Q271" s="48"/>
    </row>
    <row r="272" spans="2:17" s="46" customFormat="1" ht="15" customHeight="1">
      <c r="B272" s="47"/>
      <c r="C272" s="48"/>
      <c r="D272" s="48"/>
      <c r="E272" s="48"/>
      <c r="F272" s="48"/>
      <c r="G272" s="48"/>
      <c r="H272" s="48"/>
      <c r="I272" s="48"/>
      <c r="J272" s="48"/>
      <c r="K272" s="48"/>
      <c r="L272" s="48"/>
      <c r="M272" s="48"/>
      <c r="N272" s="48"/>
      <c r="O272" s="48"/>
      <c r="P272" s="48"/>
      <c r="Q272" s="48"/>
    </row>
    <row r="273" spans="2:17" s="46" customFormat="1" ht="15" customHeight="1">
      <c r="B273" s="47"/>
      <c r="C273" s="48"/>
      <c r="D273" s="48"/>
      <c r="E273" s="48"/>
      <c r="F273" s="48"/>
      <c r="G273" s="48"/>
      <c r="H273" s="48"/>
      <c r="I273" s="48"/>
      <c r="J273" s="48"/>
      <c r="K273" s="48"/>
      <c r="L273" s="48"/>
      <c r="M273" s="48"/>
      <c r="N273" s="48"/>
      <c r="O273" s="48"/>
      <c r="P273" s="48"/>
      <c r="Q273" s="48"/>
    </row>
    <row r="274" spans="2:17" s="46" customFormat="1" ht="15" customHeight="1">
      <c r="B274" s="47"/>
      <c r="C274" s="48"/>
      <c r="D274" s="48"/>
      <c r="E274" s="48"/>
      <c r="F274" s="48"/>
      <c r="G274" s="48"/>
      <c r="H274" s="48"/>
      <c r="I274" s="48"/>
      <c r="J274" s="48"/>
      <c r="K274" s="48"/>
      <c r="L274" s="48"/>
      <c r="M274" s="48"/>
      <c r="N274" s="48"/>
      <c r="O274" s="48"/>
      <c r="P274" s="48"/>
      <c r="Q274" s="48"/>
    </row>
    <row r="275" spans="2:17" s="46" customFormat="1" ht="15" customHeight="1">
      <c r="B275" s="47"/>
      <c r="C275" s="48"/>
      <c r="D275" s="48"/>
      <c r="E275" s="48"/>
      <c r="F275" s="48"/>
      <c r="G275" s="48"/>
      <c r="H275" s="48"/>
      <c r="I275" s="48"/>
      <c r="J275" s="48"/>
      <c r="K275" s="48"/>
      <c r="L275" s="48"/>
      <c r="M275" s="48"/>
      <c r="N275" s="48"/>
      <c r="O275" s="48"/>
      <c r="P275" s="48"/>
      <c r="Q275" s="48"/>
    </row>
    <row r="276" spans="2:17" s="46" customFormat="1" ht="15" customHeight="1">
      <c r="B276" s="47"/>
      <c r="C276" s="48"/>
      <c r="D276" s="48"/>
      <c r="E276" s="48"/>
      <c r="F276" s="48"/>
      <c r="G276" s="48"/>
      <c r="H276" s="48"/>
      <c r="I276" s="48"/>
      <c r="J276" s="48"/>
      <c r="K276" s="48"/>
      <c r="L276" s="48"/>
      <c r="M276" s="48"/>
      <c r="N276" s="48"/>
      <c r="O276" s="48"/>
      <c r="P276" s="48"/>
      <c r="Q276" s="48"/>
    </row>
    <row r="277" spans="2:17" s="46" customFormat="1" ht="15" customHeight="1">
      <c r="B277" s="47"/>
      <c r="C277" s="48"/>
      <c r="D277" s="48"/>
      <c r="E277" s="48"/>
      <c r="F277" s="48"/>
      <c r="G277" s="48"/>
      <c r="H277" s="48"/>
      <c r="I277" s="48"/>
      <c r="J277" s="48"/>
      <c r="K277" s="48"/>
      <c r="L277" s="48"/>
      <c r="M277" s="48"/>
      <c r="N277" s="48"/>
      <c r="O277" s="48"/>
      <c r="P277" s="48"/>
      <c r="Q277" s="48"/>
    </row>
    <row r="278" spans="2:17" s="46" customFormat="1" ht="15" customHeight="1">
      <c r="B278" s="47"/>
      <c r="C278" s="48"/>
      <c r="D278" s="48"/>
      <c r="E278" s="48"/>
      <c r="F278" s="48"/>
      <c r="G278" s="48"/>
      <c r="H278" s="48"/>
      <c r="I278" s="48"/>
      <c r="J278" s="48"/>
      <c r="K278" s="48"/>
      <c r="L278" s="48"/>
      <c r="M278" s="48"/>
      <c r="N278" s="48"/>
      <c r="O278" s="48"/>
      <c r="P278" s="48"/>
      <c r="Q278" s="48"/>
    </row>
    <row r="279" spans="2:17" s="46" customFormat="1" ht="15" customHeight="1">
      <c r="B279" s="47"/>
      <c r="C279" s="48"/>
      <c r="D279" s="48"/>
      <c r="E279" s="48"/>
      <c r="F279" s="48"/>
      <c r="G279" s="48"/>
      <c r="H279" s="48"/>
      <c r="I279" s="48"/>
      <c r="J279" s="48"/>
      <c r="K279" s="48"/>
      <c r="L279" s="48"/>
      <c r="M279" s="48"/>
      <c r="N279" s="48"/>
      <c r="O279" s="48"/>
      <c r="P279" s="48"/>
      <c r="Q279" s="48"/>
    </row>
    <row r="280" spans="2:17" s="46" customFormat="1" ht="15" customHeight="1">
      <c r="B280" s="47"/>
      <c r="C280" s="48"/>
      <c r="D280" s="48"/>
      <c r="E280" s="48"/>
      <c r="F280" s="48"/>
      <c r="G280" s="48"/>
      <c r="H280" s="48"/>
      <c r="I280" s="48"/>
      <c r="J280" s="48"/>
      <c r="K280" s="48"/>
      <c r="L280" s="48"/>
      <c r="M280" s="48"/>
      <c r="N280" s="48"/>
      <c r="O280" s="48"/>
      <c r="P280" s="48"/>
      <c r="Q280" s="48"/>
    </row>
    <row r="281" spans="2:17" s="46" customFormat="1" ht="15" customHeight="1">
      <c r="B281" s="47"/>
      <c r="C281" s="48"/>
      <c r="D281" s="48"/>
      <c r="E281" s="48"/>
      <c r="F281" s="48"/>
      <c r="G281" s="48"/>
      <c r="H281" s="48"/>
      <c r="I281" s="48"/>
      <c r="J281" s="48"/>
      <c r="K281" s="48"/>
      <c r="L281" s="48"/>
      <c r="M281" s="48"/>
      <c r="N281" s="48"/>
      <c r="O281" s="48"/>
      <c r="P281" s="48"/>
      <c r="Q281" s="48"/>
    </row>
    <row r="282" spans="2:17" s="46" customFormat="1" ht="15" customHeight="1">
      <c r="B282" s="47"/>
      <c r="C282" s="48"/>
      <c r="D282" s="48"/>
      <c r="E282" s="48"/>
      <c r="F282" s="48"/>
      <c r="G282" s="48"/>
      <c r="H282" s="48"/>
      <c r="I282" s="48"/>
      <c r="J282" s="48"/>
      <c r="K282" s="48"/>
      <c r="L282" s="48"/>
      <c r="M282" s="48"/>
      <c r="N282" s="48"/>
      <c r="O282" s="48"/>
      <c r="P282" s="48"/>
      <c r="Q282" s="48"/>
    </row>
    <row r="283" spans="2:17" s="46" customFormat="1" ht="15" customHeight="1">
      <c r="B283" s="47"/>
      <c r="C283" s="48"/>
      <c r="D283" s="48"/>
      <c r="E283" s="48"/>
      <c r="F283" s="48"/>
      <c r="G283" s="48"/>
      <c r="H283" s="48"/>
      <c r="I283" s="48"/>
      <c r="J283" s="48"/>
      <c r="K283" s="48"/>
      <c r="L283" s="48"/>
      <c r="M283" s="48"/>
      <c r="N283" s="48"/>
      <c r="O283" s="48"/>
      <c r="P283" s="48"/>
      <c r="Q283" s="48"/>
    </row>
    <row r="284" spans="2:17" s="46" customFormat="1" ht="15" customHeight="1">
      <c r="B284" s="47"/>
      <c r="C284" s="48"/>
      <c r="D284" s="48"/>
      <c r="E284" s="48"/>
      <c r="F284" s="48"/>
      <c r="G284" s="48"/>
      <c r="H284" s="48"/>
      <c r="I284" s="48"/>
      <c r="J284" s="48"/>
      <c r="K284" s="48"/>
      <c r="L284" s="48"/>
      <c r="M284" s="48"/>
      <c r="N284" s="48"/>
      <c r="O284" s="48"/>
      <c r="P284" s="48"/>
      <c r="Q284" s="48"/>
    </row>
    <row r="285" spans="2:17" s="46" customFormat="1" ht="15" customHeight="1">
      <c r="B285" s="47"/>
      <c r="C285" s="48"/>
      <c r="D285" s="48"/>
      <c r="E285" s="48"/>
      <c r="F285" s="48"/>
      <c r="G285" s="48"/>
      <c r="H285" s="48"/>
      <c r="I285" s="48"/>
      <c r="J285" s="48"/>
      <c r="K285" s="48"/>
      <c r="L285" s="48"/>
      <c r="M285" s="48"/>
      <c r="N285" s="48"/>
      <c r="O285" s="48"/>
      <c r="P285" s="48"/>
      <c r="Q285" s="48"/>
    </row>
    <row r="286" spans="2:17" s="46" customFormat="1" ht="15" customHeight="1">
      <c r="B286" s="47"/>
      <c r="C286" s="48"/>
      <c r="D286" s="48"/>
      <c r="E286" s="48"/>
      <c r="F286" s="48"/>
      <c r="G286" s="48"/>
      <c r="H286" s="48"/>
      <c r="I286" s="48"/>
      <c r="J286" s="48"/>
      <c r="K286" s="48"/>
      <c r="L286" s="48"/>
      <c r="M286" s="48"/>
      <c r="N286" s="48"/>
      <c r="O286" s="48"/>
      <c r="P286" s="48"/>
      <c r="Q286" s="48"/>
    </row>
    <row r="287" spans="2:17" s="46" customFormat="1" ht="15" customHeight="1">
      <c r="B287" s="47"/>
      <c r="C287" s="48"/>
      <c r="D287" s="48"/>
      <c r="E287" s="48"/>
      <c r="F287" s="48"/>
      <c r="G287" s="48"/>
      <c r="H287" s="48"/>
      <c r="I287" s="48"/>
      <c r="J287" s="48"/>
      <c r="K287" s="48"/>
      <c r="L287" s="48"/>
      <c r="M287" s="48"/>
      <c r="N287" s="48"/>
      <c r="O287" s="48"/>
      <c r="P287" s="48"/>
      <c r="Q287" s="48"/>
    </row>
    <row r="288" spans="2:17" s="46" customFormat="1" ht="15" customHeight="1">
      <c r="B288" s="47"/>
      <c r="C288" s="48"/>
      <c r="D288" s="48"/>
      <c r="E288" s="48"/>
      <c r="F288" s="48"/>
      <c r="G288" s="48"/>
      <c r="H288" s="48"/>
      <c r="I288" s="48"/>
      <c r="J288" s="48"/>
      <c r="K288" s="48"/>
      <c r="L288" s="48"/>
      <c r="M288" s="48"/>
      <c r="N288" s="48"/>
      <c r="O288" s="48"/>
      <c r="P288" s="48"/>
      <c r="Q288" s="48"/>
    </row>
    <row r="289" spans="2:17" s="46" customFormat="1" ht="15" customHeight="1">
      <c r="B289" s="47"/>
      <c r="C289" s="48"/>
      <c r="D289" s="48"/>
      <c r="E289" s="48"/>
      <c r="F289" s="48"/>
      <c r="G289" s="48"/>
      <c r="H289" s="48"/>
      <c r="I289" s="48"/>
      <c r="J289" s="48"/>
      <c r="K289" s="48"/>
      <c r="L289" s="48"/>
      <c r="M289" s="48"/>
      <c r="N289" s="48"/>
      <c r="O289" s="48"/>
      <c r="P289" s="48"/>
      <c r="Q289" s="48"/>
    </row>
    <row r="290" spans="2:17" s="46" customFormat="1" ht="15" customHeight="1">
      <c r="B290" s="47"/>
      <c r="C290" s="48"/>
      <c r="D290" s="48"/>
      <c r="E290" s="48"/>
      <c r="F290" s="48"/>
      <c r="G290" s="48"/>
      <c r="H290" s="48"/>
      <c r="I290" s="48"/>
      <c r="J290" s="48"/>
      <c r="K290" s="48"/>
      <c r="L290" s="48"/>
      <c r="M290" s="48"/>
      <c r="N290" s="48"/>
      <c r="O290" s="48"/>
      <c r="P290" s="48"/>
      <c r="Q290" s="48"/>
    </row>
    <row r="291" spans="2:17" s="46" customFormat="1" ht="15" customHeight="1">
      <c r="B291" s="47"/>
      <c r="C291" s="48"/>
      <c r="D291" s="48"/>
      <c r="E291" s="48"/>
      <c r="F291" s="48"/>
      <c r="G291" s="48"/>
      <c r="H291" s="48"/>
      <c r="I291" s="48"/>
      <c r="J291" s="48"/>
      <c r="K291" s="48"/>
      <c r="L291" s="48"/>
      <c r="M291" s="48"/>
      <c r="N291" s="48"/>
      <c r="O291" s="48"/>
      <c r="P291" s="48"/>
      <c r="Q291" s="48"/>
    </row>
    <row r="292" spans="2:17" s="46" customFormat="1" ht="15" customHeight="1">
      <c r="B292" s="47"/>
      <c r="C292" s="48"/>
      <c r="D292" s="48"/>
      <c r="E292" s="48"/>
      <c r="F292" s="48"/>
      <c r="G292" s="48"/>
      <c r="H292" s="48"/>
      <c r="I292" s="48"/>
      <c r="J292" s="48"/>
      <c r="K292" s="48"/>
      <c r="L292" s="48"/>
      <c r="M292" s="48"/>
      <c r="N292" s="48"/>
      <c r="O292" s="48"/>
      <c r="P292" s="48"/>
      <c r="Q292" s="48"/>
    </row>
    <row r="293" spans="2:17" s="46" customFormat="1" ht="15" customHeight="1">
      <c r="B293" s="47"/>
      <c r="C293" s="48"/>
      <c r="D293" s="48"/>
      <c r="E293" s="48"/>
      <c r="F293" s="48"/>
      <c r="G293" s="48"/>
      <c r="H293" s="48"/>
      <c r="I293" s="48"/>
      <c r="J293" s="48"/>
      <c r="K293" s="48"/>
      <c r="L293" s="48"/>
      <c r="M293" s="48"/>
      <c r="N293" s="48"/>
      <c r="O293" s="48"/>
      <c r="P293" s="48"/>
      <c r="Q293" s="48"/>
    </row>
    <row r="294" spans="2:17" s="46" customFormat="1" ht="15" customHeight="1">
      <c r="B294" s="47"/>
      <c r="C294" s="48"/>
      <c r="D294" s="48"/>
      <c r="E294" s="48"/>
      <c r="F294" s="48"/>
      <c r="G294" s="48"/>
      <c r="H294" s="48"/>
      <c r="I294" s="48"/>
      <c r="J294" s="48"/>
      <c r="K294" s="48"/>
      <c r="L294" s="48"/>
      <c r="M294" s="48"/>
      <c r="N294" s="48"/>
      <c r="O294" s="48"/>
      <c r="P294" s="48"/>
      <c r="Q294" s="48"/>
    </row>
    <row r="295" spans="2:17" s="46" customFormat="1" ht="15" customHeight="1">
      <c r="B295" s="47"/>
      <c r="C295" s="48"/>
      <c r="D295" s="48"/>
      <c r="E295" s="48"/>
      <c r="F295" s="48"/>
      <c r="G295" s="48"/>
      <c r="H295" s="48"/>
      <c r="I295" s="48"/>
      <c r="J295" s="48"/>
      <c r="K295" s="48"/>
      <c r="L295" s="48"/>
      <c r="M295" s="48"/>
      <c r="N295" s="48"/>
      <c r="O295" s="48"/>
      <c r="P295" s="48"/>
      <c r="Q295" s="48"/>
    </row>
    <row r="296" spans="2:17" s="46" customFormat="1" ht="15" customHeight="1">
      <c r="B296" s="47"/>
      <c r="C296" s="48"/>
      <c r="D296" s="48"/>
      <c r="E296" s="48"/>
      <c r="F296" s="48"/>
      <c r="G296" s="48"/>
      <c r="H296" s="48"/>
      <c r="I296" s="48"/>
      <c r="J296" s="48"/>
      <c r="K296" s="48"/>
      <c r="L296" s="48"/>
      <c r="M296" s="48"/>
      <c r="N296" s="48"/>
      <c r="O296" s="48"/>
      <c r="P296" s="48"/>
      <c r="Q296" s="48"/>
    </row>
    <row r="297" spans="2:17" s="46" customFormat="1" ht="15" customHeight="1">
      <c r="B297" s="47"/>
      <c r="C297" s="48"/>
      <c r="D297" s="48"/>
      <c r="E297" s="48"/>
      <c r="F297" s="48"/>
      <c r="G297" s="48"/>
      <c r="H297" s="48"/>
      <c r="I297" s="48"/>
      <c r="J297" s="48"/>
      <c r="K297" s="48"/>
      <c r="L297" s="48"/>
      <c r="M297" s="48"/>
      <c r="N297" s="48"/>
      <c r="O297" s="48"/>
      <c r="P297" s="48"/>
      <c r="Q297" s="48"/>
    </row>
    <row r="298" spans="2:17" s="46" customFormat="1" ht="15" customHeight="1">
      <c r="B298" s="47"/>
      <c r="C298" s="48"/>
      <c r="D298" s="48"/>
      <c r="E298" s="48"/>
      <c r="F298" s="48"/>
      <c r="G298" s="48"/>
      <c r="H298" s="48"/>
      <c r="I298" s="48"/>
      <c r="J298" s="48"/>
      <c r="K298" s="48"/>
      <c r="L298" s="48"/>
      <c r="M298" s="48"/>
      <c r="N298" s="48"/>
      <c r="O298" s="48"/>
      <c r="P298" s="48"/>
      <c r="Q298" s="48"/>
    </row>
    <row r="299" spans="2:17" s="46" customFormat="1" ht="15" customHeight="1">
      <c r="B299" s="47"/>
      <c r="C299" s="48"/>
      <c r="D299" s="48"/>
      <c r="E299" s="48"/>
      <c r="F299" s="48"/>
      <c r="G299" s="48"/>
      <c r="H299" s="48"/>
      <c r="I299" s="48"/>
      <c r="J299" s="48"/>
      <c r="K299" s="48"/>
      <c r="L299" s="48"/>
      <c r="M299" s="48"/>
      <c r="N299" s="48"/>
      <c r="O299" s="48"/>
      <c r="P299" s="48"/>
      <c r="Q299" s="48"/>
    </row>
    <row r="300" spans="2:17" s="46" customFormat="1" ht="15" customHeight="1">
      <c r="B300" s="47"/>
      <c r="C300" s="48"/>
      <c r="D300" s="48"/>
      <c r="E300" s="48"/>
      <c r="F300" s="48"/>
      <c r="G300" s="48"/>
      <c r="H300" s="48"/>
      <c r="I300" s="48"/>
      <c r="J300" s="48"/>
      <c r="K300" s="48"/>
      <c r="L300" s="48"/>
      <c r="M300" s="48"/>
      <c r="N300" s="48"/>
      <c r="O300" s="48"/>
      <c r="P300" s="48"/>
      <c r="Q300" s="48"/>
    </row>
    <row r="301" spans="2:17" s="46" customFormat="1" ht="15" customHeight="1">
      <c r="B301" s="47"/>
      <c r="C301" s="48"/>
      <c r="D301" s="48"/>
      <c r="E301" s="48"/>
      <c r="F301" s="48"/>
      <c r="G301" s="48"/>
      <c r="H301" s="48"/>
      <c r="I301" s="48"/>
      <c r="J301" s="48"/>
      <c r="K301" s="48"/>
      <c r="L301" s="48"/>
      <c r="M301" s="48"/>
      <c r="N301" s="48"/>
      <c r="O301" s="48"/>
      <c r="P301" s="48"/>
      <c r="Q301" s="48"/>
    </row>
    <row r="302" spans="2:17" s="46" customFormat="1" ht="15" customHeight="1">
      <c r="B302" s="47"/>
      <c r="C302" s="48"/>
      <c r="D302" s="48"/>
      <c r="E302" s="48"/>
      <c r="F302" s="48"/>
      <c r="G302" s="48"/>
      <c r="H302" s="48"/>
      <c r="I302" s="48"/>
      <c r="J302" s="48"/>
      <c r="K302" s="48"/>
      <c r="L302" s="48"/>
      <c r="M302" s="48"/>
      <c r="N302" s="48"/>
      <c r="O302" s="48"/>
      <c r="P302" s="48"/>
      <c r="Q302" s="48"/>
    </row>
    <row r="303" spans="2:17" s="46" customFormat="1" ht="15" customHeight="1">
      <c r="B303" s="47"/>
      <c r="C303" s="48"/>
      <c r="D303" s="48"/>
      <c r="E303" s="48"/>
      <c r="F303" s="48"/>
      <c r="G303" s="48"/>
      <c r="H303" s="48"/>
      <c r="I303" s="48"/>
      <c r="J303" s="48"/>
      <c r="K303" s="48"/>
      <c r="L303" s="48"/>
      <c r="M303" s="48"/>
      <c r="N303" s="48"/>
      <c r="O303" s="48"/>
      <c r="P303" s="48"/>
      <c r="Q303" s="48"/>
    </row>
    <row r="304" spans="2:17" s="46" customFormat="1" ht="15" customHeight="1">
      <c r="B304" s="47"/>
      <c r="C304" s="48"/>
      <c r="D304" s="48"/>
      <c r="E304" s="48"/>
      <c r="F304" s="48"/>
      <c r="G304" s="48"/>
      <c r="H304" s="48"/>
      <c r="I304" s="48"/>
      <c r="J304" s="48"/>
      <c r="K304" s="48"/>
      <c r="L304" s="48"/>
      <c r="M304" s="48"/>
      <c r="N304" s="48"/>
      <c r="O304" s="48"/>
      <c r="P304" s="48"/>
      <c r="Q304" s="48"/>
    </row>
    <row r="305" spans="2:17" s="46" customFormat="1" ht="15" customHeight="1">
      <c r="B305" s="47"/>
      <c r="C305" s="48"/>
      <c r="D305" s="48"/>
      <c r="E305" s="48"/>
      <c r="F305" s="48"/>
      <c r="G305" s="48"/>
      <c r="H305" s="48"/>
      <c r="I305" s="48"/>
      <c r="J305" s="48"/>
      <c r="K305" s="48"/>
      <c r="L305" s="48"/>
      <c r="M305" s="48"/>
      <c r="N305" s="48"/>
      <c r="O305" s="48"/>
      <c r="P305" s="48"/>
      <c r="Q305" s="48"/>
    </row>
    <row r="306" spans="2:17" s="46" customFormat="1" ht="15" customHeight="1">
      <c r="B306" s="47"/>
      <c r="C306" s="48"/>
      <c r="D306" s="48"/>
      <c r="E306" s="48"/>
      <c r="F306" s="48"/>
      <c r="G306" s="48"/>
      <c r="H306" s="48"/>
      <c r="I306" s="48"/>
      <c r="J306" s="48"/>
      <c r="K306" s="48"/>
      <c r="L306" s="48"/>
      <c r="M306" s="48"/>
      <c r="N306" s="48"/>
      <c r="O306" s="48"/>
      <c r="P306" s="48"/>
      <c r="Q306" s="48"/>
    </row>
    <row r="307" spans="2:17" s="46" customFormat="1" ht="15" customHeight="1">
      <c r="B307" s="47"/>
      <c r="C307" s="48"/>
      <c r="D307" s="48"/>
      <c r="E307" s="48"/>
      <c r="F307" s="48"/>
      <c r="G307" s="48"/>
      <c r="H307" s="48"/>
      <c r="I307" s="48"/>
      <c r="J307" s="48"/>
      <c r="K307" s="48"/>
      <c r="L307" s="48"/>
      <c r="M307" s="48"/>
      <c r="N307" s="48"/>
      <c r="O307" s="48"/>
      <c r="P307" s="48"/>
      <c r="Q307" s="48"/>
    </row>
    <row r="308" spans="2:17" s="46" customFormat="1" ht="15" customHeight="1">
      <c r="B308" s="47"/>
      <c r="C308" s="48"/>
      <c r="D308" s="48"/>
      <c r="E308" s="48"/>
      <c r="F308" s="48"/>
      <c r="G308" s="48"/>
      <c r="H308" s="48"/>
      <c r="I308" s="48"/>
      <c r="J308" s="48"/>
      <c r="K308" s="48"/>
      <c r="L308" s="48"/>
      <c r="M308" s="48"/>
      <c r="N308" s="48"/>
      <c r="O308" s="48"/>
      <c r="P308" s="48"/>
      <c r="Q308" s="48"/>
    </row>
    <row r="309" spans="2:17" s="46" customFormat="1" ht="15" customHeight="1">
      <c r="B309" s="47"/>
      <c r="C309" s="48"/>
      <c r="D309" s="48"/>
      <c r="E309" s="48"/>
      <c r="F309" s="48"/>
      <c r="G309" s="48"/>
      <c r="H309" s="48"/>
      <c r="I309" s="48"/>
      <c r="J309" s="48"/>
      <c r="K309" s="48"/>
      <c r="L309" s="48"/>
      <c r="M309" s="48"/>
      <c r="N309" s="48"/>
      <c r="O309" s="48"/>
      <c r="P309" s="48"/>
      <c r="Q309" s="48"/>
    </row>
    <row r="310" spans="2:17" s="46" customFormat="1" ht="15" customHeight="1">
      <c r="B310" s="47"/>
      <c r="C310" s="48"/>
      <c r="D310" s="48"/>
      <c r="E310" s="48"/>
      <c r="F310" s="48"/>
      <c r="G310" s="48"/>
      <c r="H310" s="48"/>
      <c r="I310" s="48"/>
      <c r="J310" s="48"/>
      <c r="K310" s="48"/>
      <c r="L310" s="48"/>
      <c r="M310" s="48"/>
      <c r="N310" s="48"/>
      <c r="O310" s="48"/>
      <c r="P310" s="48"/>
      <c r="Q310" s="48"/>
    </row>
    <row r="311" spans="2:17" s="46" customFormat="1" ht="15" customHeight="1">
      <c r="B311" s="47"/>
      <c r="C311" s="48"/>
      <c r="D311" s="48"/>
      <c r="E311" s="48"/>
      <c r="F311" s="48"/>
      <c r="G311" s="48"/>
      <c r="H311" s="48"/>
      <c r="I311" s="48"/>
      <c r="J311" s="48"/>
      <c r="K311" s="48"/>
      <c r="L311" s="48"/>
      <c r="M311" s="48"/>
      <c r="N311" s="48"/>
      <c r="O311" s="48"/>
      <c r="P311" s="48"/>
      <c r="Q311" s="48"/>
    </row>
    <row r="312" spans="2:17" s="46" customFormat="1" ht="15" customHeight="1">
      <c r="B312" s="47"/>
      <c r="C312" s="48"/>
      <c r="D312" s="48"/>
      <c r="E312" s="48"/>
      <c r="F312" s="48"/>
      <c r="G312" s="48"/>
      <c r="H312" s="48"/>
      <c r="I312" s="48"/>
      <c r="J312" s="48"/>
      <c r="K312" s="48"/>
      <c r="L312" s="48"/>
      <c r="M312" s="48"/>
      <c r="N312" s="48"/>
      <c r="O312" s="48"/>
      <c r="P312" s="48"/>
      <c r="Q312" s="48"/>
    </row>
    <row r="313" spans="2:17" s="46" customFormat="1" ht="15" customHeight="1">
      <c r="B313" s="47"/>
      <c r="C313" s="48"/>
      <c r="D313" s="48"/>
      <c r="E313" s="48"/>
      <c r="F313" s="48"/>
      <c r="G313" s="48"/>
      <c r="H313" s="48"/>
      <c r="I313" s="48"/>
      <c r="J313" s="48"/>
      <c r="K313" s="48"/>
      <c r="L313" s="48"/>
      <c r="M313" s="48"/>
      <c r="N313" s="48"/>
      <c r="O313" s="48"/>
      <c r="P313" s="48"/>
      <c r="Q313" s="48"/>
    </row>
    <row r="314" spans="2:17" s="46" customFormat="1" ht="15" customHeight="1">
      <c r="B314" s="47"/>
      <c r="C314" s="48"/>
      <c r="D314" s="48"/>
      <c r="E314" s="48"/>
      <c r="F314" s="48"/>
      <c r="G314" s="48"/>
      <c r="H314" s="48"/>
      <c r="I314" s="48"/>
      <c r="J314" s="48"/>
      <c r="K314" s="48"/>
      <c r="L314" s="48"/>
      <c r="M314" s="48"/>
      <c r="N314" s="48"/>
      <c r="O314" s="48"/>
      <c r="P314" s="48"/>
      <c r="Q314" s="48"/>
    </row>
    <row r="315" spans="2:17" s="46" customFormat="1" ht="15" customHeight="1">
      <c r="B315" s="47"/>
      <c r="C315" s="48"/>
      <c r="D315" s="48"/>
      <c r="E315" s="48"/>
      <c r="F315" s="48"/>
      <c r="G315" s="48"/>
      <c r="H315" s="48"/>
      <c r="I315" s="48"/>
      <c r="J315" s="48"/>
      <c r="K315" s="48"/>
      <c r="L315" s="48"/>
      <c r="M315" s="48"/>
      <c r="N315" s="48"/>
      <c r="O315" s="48"/>
      <c r="P315" s="48"/>
      <c r="Q315" s="48"/>
    </row>
    <row r="316" spans="2:17" s="46" customFormat="1" ht="15" customHeight="1">
      <c r="B316" s="47"/>
      <c r="C316" s="48"/>
      <c r="D316" s="48"/>
      <c r="E316" s="48"/>
      <c r="F316" s="48"/>
      <c r="G316" s="48"/>
      <c r="H316" s="48"/>
      <c r="I316" s="48"/>
      <c r="J316" s="48"/>
      <c r="K316" s="48"/>
      <c r="L316" s="48"/>
      <c r="M316" s="48"/>
      <c r="N316" s="48"/>
      <c r="O316" s="48"/>
      <c r="P316" s="48"/>
      <c r="Q316" s="48"/>
    </row>
    <row r="317" spans="2:17" s="46" customFormat="1" ht="15" customHeight="1">
      <c r="B317" s="47"/>
      <c r="C317" s="48"/>
      <c r="D317" s="48"/>
      <c r="E317" s="48"/>
      <c r="F317" s="48"/>
      <c r="G317" s="48"/>
      <c r="H317" s="48"/>
      <c r="I317" s="48"/>
      <c r="J317" s="48"/>
      <c r="K317" s="48"/>
      <c r="L317" s="48"/>
      <c r="M317" s="48"/>
      <c r="N317" s="48"/>
      <c r="O317" s="48"/>
      <c r="P317" s="48"/>
      <c r="Q317" s="48"/>
    </row>
    <row r="318" spans="2:17" s="46" customFormat="1" ht="15" customHeight="1">
      <c r="B318" s="47"/>
      <c r="C318" s="48"/>
      <c r="D318" s="48"/>
      <c r="E318" s="48"/>
      <c r="F318" s="48"/>
      <c r="G318" s="48"/>
      <c r="H318" s="48"/>
      <c r="I318" s="48"/>
      <c r="J318" s="48"/>
      <c r="K318" s="48"/>
      <c r="L318" s="48"/>
      <c r="M318" s="48"/>
      <c r="N318" s="48"/>
      <c r="O318" s="48"/>
      <c r="P318" s="48"/>
      <c r="Q318" s="48"/>
    </row>
    <row r="319" spans="2:17" s="46" customFormat="1" ht="15" customHeight="1">
      <c r="B319" s="47"/>
      <c r="C319" s="48"/>
      <c r="D319" s="48"/>
      <c r="E319" s="48"/>
      <c r="F319" s="48"/>
      <c r="G319" s="48"/>
      <c r="H319" s="48"/>
      <c r="I319" s="48"/>
      <c r="J319" s="48"/>
      <c r="K319" s="48"/>
      <c r="L319" s="48"/>
      <c r="M319" s="48"/>
      <c r="N319" s="48"/>
      <c r="O319" s="48"/>
      <c r="P319" s="48"/>
      <c r="Q319" s="48"/>
    </row>
    <row r="320" spans="2:17" s="46" customFormat="1" ht="15" customHeight="1">
      <c r="B320" s="47"/>
      <c r="C320" s="48"/>
      <c r="D320" s="48"/>
      <c r="E320" s="48"/>
      <c r="F320" s="48"/>
      <c r="G320" s="48"/>
      <c r="H320" s="48"/>
      <c r="I320" s="48"/>
      <c r="J320" s="48"/>
      <c r="K320" s="48"/>
      <c r="L320" s="48"/>
      <c r="M320" s="48"/>
      <c r="N320" s="48"/>
      <c r="O320" s="48"/>
      <c r="P320" s="48"/>
      <c r="Q320" s="48"/>
    </row>
    <row r="321" spans="2:17" s="46" customFormat="1" ht="15" customHeight="1">
      <c r="B321" s="47"/>
      <c r="C321" s="48"/>
      <c r="D321" s="48"/>
      <c r="E321" s="48"/>
      <c r="F321" s="48"/>
      <c r="G321" s="48"/>
      <c r="H321" s="48"/>
      <c r="I321" s="48"/>
      <c r="J321" s="48"/>
      <c r="K321" s="48"/>
      <c r="L321" s="48"/>
      <c r="M321" s="48"/>
      <c r="N321" s="48"/>
      <c r="O321" s="48"/>
      <c r="P321" s="48"/>
      <c r="Q321" s="48"/>
    </row>
    <row r="322" spans="2:17" s="46" customFormat="1" ht="15" customHeight="1">
      <c r="B322" s="47"/>
      <c r="C322" s="48"/>
      <c r="D322" s="48"/>
      <c r="E322" s="48"/>
      <c r="F322" s="48"/>
      <c r="G322" s="48"/>
      <c r="H322" s="48"/>
      <c r="I322" s="48"/>
      <c r="J322" s="48"/>
      <c r="K322" s="48"/>
      <c r="L322" s="48"/>
      <c r="M322" s="48"/>
      <c r="N322" s="48"/>
      <c r="O322" s="48"/>
      <c r="P322" s="48"/>
      <c r="Q322" s="48"/>
    </row>
    <row r="323" spans="2:17" s="46" customFormat="1" ht="15" customHeight="1">
      <c r="B323" s="47"/>
      <c r="C323" s="48"/>
      <c r="D323" s="48"/>
      <c r="E323" s="48"/>
      <c r="F323" s="48"/>
      <c r="G323" s="48"/>
      <c r="H323" s="48"/>
      <c r="I323" s="48"/>
      <c r="J323" s="48"/>
      <c r="K323" s="48"/>
      <c r="L323" s="48"/>
      <c r="M323" s="48"/>
      <c r="N323" s="48"/>
      <c r="O323" s="48"/>
      <c r="P323" s="48"/>
      <c r="Q323" s="48"/>
    </row>
    <row r="324" spans="2:17" s="46" customFormat="1" ht="15" customHeight="1">
      <c r="B324" s="47"/>
      <c r="C324" s="48"/>
      <c r="D324" s="48"/>
      <c r="E324" s="48"/>
      <c r="F324" s="48"/>
      <c r="G324" s="48"/>
      <c r="H324" s="48"/>
      <c r="I324" s="48"/>
      <c r="J324" s="48"/>
      <c r="K324" s="48"/>
      <c r="L324" s="48"/>
      <c r="M324" s="48"/>
      <c r="N324" s="48"/>
      <c r="O324" s="48"/>
      <c r="P324" s="48"/>
      <c r="Q324" s="48"/>
    </row>
    <row r="325" spans="2:17" s="46" customFormat="1" ht="15" customHeight="1">
      <c r="B325" s="47"/>
      <c r="C325" s="48"/>
      <c r="D325" s="48"/>
      <c r="E325" s="48"/>
      <c r="F325" s="48"/>
      <c r="G325" s="48"/>
      <c r="H325" s="48"/>
      <c r="I325" s="48"/>
      <c r="J325" s="48"/>
      <c r="K325" s="48"/>
      <c r="L325" s="48"/>
      <c r="M325" s="48"/>
      <c r="N325" s="48"/>
      <c r="O325" s="48"/>
      <c r="P325" s="48"/>
      <c r="Q325" s="48"/>
    </row>
    <row r="326" spans="2:17" s="46" customFormat="1" ht="15" customHeight="1">
      <c r="B326" s="47"/>
      <c r="C326" s="48"/>
      <c r="D326" s="48"/>
      <c r="E326" s="48"/>
      <c r="F326" s="48"/>
      <c r="G326" s="48"/>
      <c r="H326" s="48"/>
      <c r="I326" s="48"/>
      <c r="J326" s="48"/>
      <c r="K326" s="48"/>
      <c r="L326" s="48"/>
      <c r="M326" s="48"/>
      <c r="N326" s="48"/>
      <c r="O326" s="48"/>
      <c r="P326" s="48"/>
      <c r="Q326" s="48"/>
    </row>
    <row r="327" spans="2:17" s="46" customFormat="1" ht="15" customHeight="1">
      <c r="B327" s="47"/>
      <c r="C327" s="48"/>
      <c r="D327" s="48"/>
      <c r="E327" s="48"/>
      <c r="F327" s="48"/>
      <c r="G327" s="48"/>
      <c r="H327" s="48"/>
      <c r="I327" s="48"/>
      <c r="J327" s="48"/>
      <c r="K327" s="48"/>
      <c r="L327" s="48"/>
      <c r="M327" s="48"/>
      <c r="N327" s="48"/>
      <c r="O327" s="48"/>
      <c r="P327" s="48"/>
      <c r="Q327" s="48"/>
    </row>
    <row r="328" spans="2:17" s="46" customFormat="1" ht="15" customHeight="1">
      <c r="B328" s="47"/>
      <c r="C328" s="48"/>
      <c r="D328" s="48"/>
      <c r="E328" s="48"/>
      <c r="F328" s="48"/>
      <c r="G328" s="48"/>
      <c r="H328" s="48"/>
      <c r="I328" s="48"/>
      <c r="J328" s="48"/>
      <c r="K328" s="48"/>
      <c r="L328" s="48"/>
      <c r="M328" s="48"/>
      <c r="N328" s="48"/>
      <c r="O328" s="48"/>
      <c r="P328" s="48"/>
      <c r="Q328" s="48"/>
    </row>
    <row r="329" spans="2:17" s="46" customFormat="1" ht="15" customHeight="1">
      <c r="B329" s="47"/>
      <c r="C329" s="48"/>
      <c r="D329" s="48"/>
      <c r="E329" s="48"/>
      <c r="F329" s="48"/>
      <c r="G329" s="48"/>
      <c r="H329" s="48"/>
      <c r="I329" s="48"/>
      <c r="J329" s="48"/>
      <c r="K329" s="48"/>
      <c r="L329" s="48"/>
      <c r="M329" s="48"/>
      <c r="N329" s="48"/>
      <c r="O329" s="48"/>
      <c r="P329" s="48"/>
      <c r="Q329" s="48"/>
    </row>
    <row r="330" spans="2:17" s="46" customFormat="1" ht="15" customHeight="1">
      <c r="B330" s="47"/>
      <c r="C330" s="48"/>
      <c r="D330" s="48"/>
      <c r="E330" s="48"/>
      <c r="F330" s="48"/>
      <c r="G330" s="48"/>
      <c r="H330" s="48"/>
      <c r="I330" s="48"/>
      <c r="J330" s="48"/>
      <c r="K330" s="48"/>
      <c r="L330" s="48"/>
      <c r="M330" s="48"/>
      <c r="N330" s="48"/>
      <c r="O330" s="48"/>
      <c r="P330" s="48"/>
      <c r="Q330" s="48"/>
    </row>
    <row r="331" spans="2:17" s="46" customFormat="1" ht="15" customHeight="1">
      <c r="B331" s="47"/>
      <c r="C331" s="48"/>
      <c r="D331" s="48"/>
      <c r="E331" s="48"/>
      <c r="F331" s="48"/>
      <c r="G331" s="48"/>
      <c r="H331" s="48"/>
      <c r="I331" s="48"/>
      <c r="J331" s="48"/>
      <c r="K331" s="48"/>
      <c r="L331" s="48"/>
      <c r="M331" s="48"/>
      <c r="N331" s="48"/>
      <c r="O331" s="48"/>
      <c r="P331" s="48"/>
      <c r="Q331" s="48"/>
    </row>
    <row r="332" spans="2:17" s="46" customFormat="1" ht="15" customHeight="1">
      <c r="B332" s="47"/>
      <c r="C332" s="48"/>
      <c r="D332" s="48"/>
      <c r="E332" s="48"/>
      <c r="F332" s="48"/>
      <c r="G332" s="48"/>
      <c r="H332" s="48"/>
      <c r="I332" s="48"/>
      <c r="J332" s="48"/>
      <c r="K332" s="48"/>
      <c r="L332" s="48"/>
      <c r="M332" s="48"/>
      <c r="N332" s="48"/>
      <c r="O332" s="48"/>
      <c r="P332" s="48"/>
      <c r="Q332" s="48"/>
    </row>
    <row r="333" spans="2:17" s="46" customFormat="1" ht="15" customHeight="1">
      <c r="B333" s="47"/>
      <c r="C333" s="48"/>
      <c r="D333" s="48"/>
      <c r="E333" s="48"/>
      <c r="F333" s="48"/>
      <c r="G333" s="48"/>
      <c r="H333" s="48"/>
      <c r="I333" s="48"/>
      <c r="J333" s="48"/>
      <c r="K333" s="48"/>
      <c r="L333" s="48"/>
      <c r="M333" s="48"/>
      <c r="N333" s="48"/>
      <c r="O333" s="48"/>
      <c r="P333" s="48"/>
      <c r="Q333" s="48"/>
    </row>
    <row r="334" spans="2:17" s="46" customFormat="1" ht="15" customHeight="1">
      <c r="B334" s="47"/>
      <c r="C334" s="48"/>
      <c r="D334" s="48"/>
      <c r="E334" s="48"/>
      <c r="F334" s="48"/>
      <c r="G334" s="48"/>
      <c r="H334" s="48"/>
      <c r="I334" s="48"/>
      <c r="J334" s="48"/>
      <c r="K334" s="48"/>
      <c r="L334" s="48"/>
      <c r="M334" s="48"/>
      <c r="N334" s="48"/>
      <c r="O334" s="48"/>
      <c r="P334" s="48"/>
      <c r="Q334" s="48"/>
    </row>
    <row r="335" spans="2:17" s="46" customFormat="1" ht="15" customHeight="1">
      <c r="B335" s="47"/>
      <c r="C335" s="48"/>
      <c r="D335" s="48"/>
      <c r="E335" s="48"/>
      <c r="F335" s="48"/>
      <c r="G335" s="48"/>
      <c r="H335" s="48"/>
      <c r="I335" s="48"/>
      <c r="J335" s="48"/>
      <c r="K335" s="48"/>
      <c r="L335" s="48"/>
      <c r="M335" s="48"/>
      <c r="N335" s="48"/>
      <c r="O335" s="48"/>
      <c r="P335" s="48"/>
      <c r="Q335" s="48"/>
    </row>
    <row r="336" spans="2:17" s="46" customFormat="1" ht="15" customHeight="1">
      <c r="B336" s="47"/>
      <c r="C336" s="48"/>
      <c r="D336" s="48"/>
      <c r="E336" s="48"/>
      <c r="F336" s="48"/>
      <c r="G336" s="48"/>
      <c r="H336" s="48"/>
      <c r="I336" s="48"/>
      <c r="J336" s="48"/>
      <c r="K336" s="48"/>
      <c r="L336" s="48"/>
      <c r="M336" s="48"/>
      <c r="N336" s="48"/>
      <c r="O336" s="48"/>
      <c r="P336" s="48"/>
      <c r="Q336" s="48"/>
    </row>
    <row r="337" spans="2:17" s="46" customFormat="1" ht="15" customHeight="1">
      <c r="B337" s="47"/>
      <c r="C337" s="48"/>
      <c r="D337" s="48"/>
      <c r="E337" s="48"/>
      <c r="F337" s="48"/>
      <c r="G337" s="48"/>
      <c r="H337" s="48"/>
      <c r="I337" s="48"/>
      <c r="J337" s="48"/>
      <c r="K337" s="48"/>
      <c r="L337" s="48"/>
      <c r="M337" s="48"/>
      <c r="N337" s="48"/>
      <c r="O337" s="48"/>
      <c r="P337" s="48"/>
      <c r="Q337" s="48"/>
    </row>
    <row r="338" spans="2:17" s="46" customFormat="1" ht="15" customHeight="1">
      <c r="B338" s="47"/>
      <c r="C338" s="48"/>
      <c r="D338" s="48"/>
      <c r="E338" s="48"/>
      <c r="F338" s="48"/>
      <c r="G338" s="48"/>
      <c r="H338" s="48"/>
      <c r="I338" s="48"/>
      <c r="J338" s="48"/>
      <c r="K338" s="48"/>
      <c r="L338" s="48"/>
      <c r="M338" s="48"/>
      <c r="N338" s="48"/>
      <c r="O338" s="48"/>
      <c r="P338" s="48"/>
      <c r="Q338" s="48"/>
    </row>
    <row r="339" spans="2:17" s="46" customFormat="1" ht="15" customHeight="1">
      <c r="B339" s="47"/>
      <c r="C339" s="48"/>
      <c r="D339" s="48"/>
      <c r="E339" s="48"/>
      <c r="F339" s="48"/>
      <c r="G339" s="48"/>
      <c r="H339" s="48"/>
      <c r="I339" s="48"/>
      <c r="J339" s="48"/>
      <c r="K339" s="48"/>
      <c r="L339" s="48"/>
      <c r="M339" s="48"/>
      <c r="N339" s="48"/>
      <c r="O339" s="48"/>
      <c r="P339" s="48"/>
      <c r="Q339" s="48"/>
    </row>
    <row r="340" spans="2:17" s="46" customFormat="1" ht="15" customHeight="1">
      <c r="B340" s="47"/>
      <c r="C340" s="48"/>
      <c r="D340" s="48"/>
      <c r="E340" s="48"/>
      <c r="F340" s="48"/>
      <c r="G340" s="48"/>
      <c r="H340" s="48"/>
      <c r="I340" s="48"/>
      <c r="J340" s="48"/>
      <c r="K340" s="48"/>
      <c r="L340" s="48"/>
      <c r="M340" s="48"/>
      <c r="N340" s="48"/>
      <c r="O340" s="48"/>
      <c r="P340" s="48"/>
      <c r="Q340" s="48"/>
    </row>
    <row r="341" spans="2:17" s="46" customFormat="1" ht="15" customHeight="1">
      <c r="B341" s="47"/>
      <c r="C341" s="48"/>
      <c r="D341" s="48"/>
      <c r="E341" s="48"/>
      <c r="F341" s="48"/>
      <c r="G341" s="48"/>
      <c r="H341" s="48"/>
      <c r="I341" s="48"/>
      <c r="J341" s="48"/>
      <c r="K341" s="48"/>
      <c r="L341" s="48"/>
      <c r="M341" s="48"/>
      <c r="N341" s="48"/>
      <c r="O341" s="48"/>
      <c r="P341" s="48"/>
      <c r="Q341" s="48"/>
    </row>
    <row r="342" spans="2:17" s="46" customFormat="1" ht="15" customHeight="1">
      <c r="B342" s="47"/>
      <c r="C342" s="48"/>
      <c r="D342" s="48"/>
      <c r="E342" s="48"/>
      <c r="F342" s="48"/>
      <c r="G342" s="48"/>
      <c r="H342" s="48"/>
      <c r="I342" s="48"/>
      <c r="J342" s="48"/>
      <c r="K342" s="48"/>
      <c r="L342" s="48"/>
      <c r="M342" s="48"/>
      <c r="N342" s="48"/>
      <c r="O342" s="48"/>
      <c r="P342" s="48"/>
      <c r="Q342" s="48"/>
    </row>
    <row r="343" spans="2:17" s="46" customFormat="1" ht="15" customHeight="1">
      <c r="B343" s="47"/>
      <c r="C343" s="48"/>
      <c r="D343" s="48"/>
      <c r="E343" s="48"/>
      <c r="F343" s="48"/>
      <c r="G343" s="48"/>
      <c r="H343" s="48"/>
      <c r="I343" s="48"/>
      <c r="J343" s="48"/>
      <c r="K343" s="48"/>
      <c r="L343" s="48"/>
      <c r="M343" s="48"/>
      <c r="N343" s="48"/>
      <c r="O343" s="48"/>
      <c r="P343" s="48"/>
      <c r="Q343" s="48"/>
    </row>
    <row r="344" spans="2:17" s="46" customFormat="1" ht="15" customHeight="1">
      <c r="B344" s="47"/>
      <c r="C344" s="48"/>
      <c r="D344" s="48"/>
      <c r="E344" s="48"/>
      <c r="F344" s="48"/>
      <c r="G344" s="48"/>
      <c r="H344" s="48"/>
      <c r="I344" s="48"/>
      <c r="J344" s="48"/>
      <c r="K344" s="48"/>
      <c r="L344" s="48"/>
      <c r="M344" s="48"/>
      <c r="N344" s="48"/>
      <c r="O344" s="48"/>
      <c r="P344" s="48"/>
      <c r="Q344" s="48"/>
    </row>
    <row r="345" spans="2:17" s="46" customFormat="1" ht="15" customHeight="1">
      <c r="B345" s="47"/>
      <c r="C345" s="48"/>
      <c r="D345" s="48"/>
      <c r="E345" s="48"/>
      <c r="F345" s="48"/>
      <c r="G345" s="48"/>
      <c r="H345" s="48"/>
      <c r="I345" s="48"/>
      <c r="J345" s="48"/>
      <c r="K345" s="48"/>
      <c r="L345" s="48"/>
      <c r="M345" s="48"/>
      <c r="N345" s="48"/>
      <c r="O345" s="48"/>
      <c r="P345" s="48"/>
      <c r="Q345" s="48"/>
    </row>
    <row r="346" spans="2:17" s="46" customFormat="1" ht="15" customHeight="1">
      <c r="B346" s="47"/>
      <c r="C346" s="48"/>
      <c r="D346" s="48"/>
      <c r="E346" s="48"/>
      <c r="F346" s="48"/>
      <c r="G346" s="48"/>
      <c r="H346" s="48"/>
      <c r="I346" s="48"/>
      <c r="J346" s="48"/>
      <c r="K346" s="48"/>
      <c r="L346" s="48"/>
      <c r="M346" s="48"/>
      <c r="N346" s="48"/>
      <c r="O346" s="48"/>
      <c r="P346" s="48"/>
      <c r="Q346" s="48"/>
    </row>
    <row r="347" spans="2:17" s="46" customFormat="1" ht="15" customHeight="1">
      <c r="B347" s="47"/>
      <c r="C347" s="48"/>
      <c r="D347" s="48"/>
      <c r="E347" s="48"/>
      <c r="F347" s="48"/>
      <c r="G347" s="48"/>
      <c r="H347" s="48"/>
      <c r="I347" s="48"/>
      <c r="J347" s="48"/>
      <c r="K347" s="48"/>
      <c r="L347" s="48"/>
      <c r="M347" s="48"/>
      <c r="N347" s="48"/>
      <c r="O347" s="48"/>
      <c r="P347" s="48"/>
      <c r="Q347" s="48"/>
    </row>
    <row r="348" spans="2:17" s="46" customFormat="1" ht="15" customHeight="1">
      <c r="B348" s="47"/>
      <c r="C348" s="48"/>
      <c r="D348" s="48"/>
      <c r="E348" s="48"/>
      <c r="F348" s="48"/>
      <c r="G348" s="48"/>
      <c r="H348" s="48"/>
      <c r="I348" s="48"/>
      <c r="J348" s="48"/>
      <c r="K348" s="48"/>
      <c r="L348" s="48"/>
      <c r="M348" s="48"/>
      <c r="N348" s="48"/>
      <c r="O348" s="48"/>
      <c r="P348" s="48"/>
      <c r="Q348" s="48"/>
    </row>
    <row r="349" spans="2:17" s="46" customFormat="1" ht="15" customHeight="1">
      <c r="B349" s="47"/>
      <c r="C349" s="48"/>
      <c r="D349" s="48"/>
      <c r="E349" s="48"/>
      <c r="F349" s="48"/>
      <c r="G349" s="48"/>
      <c r="H349" s="48"/>
      <c r="I349" s="48"/>
      <c r="J349" s="48"/>
      <c r="K349" s="48"/>
      <c r="L349" s="48"/>
      <c r="M349" s="48"/>
      <c r="N349" s="48"/>
      <c r="O349" s="48"/>
      <c r="P349" s="48"/>
      <c r="Q349" s="48"/>
    </row>
    <row r="350" spans="2:17" s="46" customFormat="1" ht="15" customHeight="1">
      <c r="B350" s="47"/>
      <c r="C350" s="48"/>
      <c r="D350" s="48"/>
      <c r="E350" s="48"/>
      <c r="F350" s="48"/>
      <c r="G350" s="48"/>
      <c r="H350" s="48"/>
      <c r="I350" s="48"/>
      <c r="J350" s="48"/>
      <c r="K350" s="48"/>
      <c r="L350" s="48"/>
      <c r="M350" s="48"/>
      <c r="N350" s="48"/>
      <c r="O350" s="48"/>
      <c r="P350" s="48"/>
      <c r="Q350" s="48"/>
    </row>
    <row r="351" spans="2:17" s="46" customFormat="1" ht="15" customHeight="1">
      <c r="B351" s="47"/>
      <c r="C351" s="48"/>
      <c r="D351" s="48"/>
      <c r="E351" s="48"/>
      <c r="F351" s="48"/>
      <c r="G351" s="48"/>
      <c r="H351" s="48"/>
      <c r="I351" s="48"/>
      <c r="J351" s="48"/>
      <c r="K351" s="48"/>
      <c r="L351" s="48"/>
      <c r="M351" s="48"/>
      <c r="N351" s="48"/>
      <c r="O351" s="48"/>
      <c r="P351" s="48"/>
      <c r="Q351" s="48"/>
    </row>
    <row r="352" spans="2:17" s="46" customFormat="1" ht="15" customHeight="1">
      <c r="B352" s="47"/>
      <c r="C352" s="48"/>
      <c r="D352" s="48"/>
      <c r="E352" s="48"/>
      <c r="F352" s="48"/>
      <c r="G352" s="48"/>
      <c r="H352" s="48"/>
      <c r="I352" s="48"/>
      <c r="J352" s="48"/>
      <c r="K352" s="48"/>
      <c r="L352" s="48"/>
      <c r="M352" s="48"/>
      <c r="N352" s="48"/>
      <c r="O352" s="48"/>
      <c r="P352" s="48"/>
      <c r="Q352" s="48"/>
    </row>
    <row r="353" spans="2:17" s="46" customFormat="1" ht="15" customHeight="1">
      <c r="B353" s="47"/>
      <c r="C353" s="48"/>
      <c r="D353" s="48"/>
      <c r="E353" s="48"/>
      <c r="F353" s="48"/>
      <c r="G353" s="48"/>
      <c r="H353" s="48"/>
      <c r="I353" s="48"/>
      <c r="J353" s="48"/>
      <c r="K353" s="48"/>
      <c r="L353" s="48"/>
      <c r="M353" s="48"/>
      <c r="N353" s="48"/>
      <c r="O353" s="48"/>
      <c r="P353" s="48"/>
      <c r="Q353" s="48"/>
    </row>
    <row r="354" spans="2:17" s="46" customFormat="1" ht="15" customHeight="1">
      <c r="B354" s="47"/>
      <c r="C354" s="48"/>
      <c r="D354" s="48"/>
      <c r="E354" s="48"/>
      <c r="F354" s="48"/>
      <c r="G354" s="48"/>
      <c r="H354" s="48"/>
      <c r="I354" s="48"/>
      <c r="J354" s="48"/>
      <c r="K354" s="48"/>
      <c r="L354" s="48"/>
      <c r="M354" s="48"/>
      <c r="N354" s="48"/>
      <c r="O354" s="48"/>
      <c r="P354" s="48"/>
      <c r="Q354" s="48"/>
    </row>
    <row r="355" spans="2:17" s="46" customFormat="1" ht="15" customHeight="1">
      <c r="B355" s="47"/>
      <c r="C355" s="48"/>
      <c r="D355" s="48"/>
      <c r="E355" s="48"/>
      <c r="F355" s="48"/>
      <c r="G355" s="48"/>
      <c r="H355" s="48"/>
      <c r="I355" s="48"/>
      <c r="J355" s="48"/>
      <c r="K355" s="48"/>
      <c r="L355" s="48"/>
      <c r="M355" s="48"/>
      <c r="N355" s="48"/>
      <c r="O355" s="48"/>
      <c r="P355" s="48"/>
      <c r="Q355" s="48"/>
    </row>
    <row r="356" spans="2:17" s="46" customFormat="1" ht="15" customHeight="1">
      <c r="B356" s="47"/>
      <c r="C356" s="48"/>
      <c r="D356" s="48"/>
      <c r="E356" s="48"/>
      <c r="F356" s="48"/>
      <c r="G356" s="48"/>
      <c r="H356" s="48"/>
      <c r="I356" s="48"/>
      <c r="J356" s="48"/>
      <c r="K356" s="48"/>
      <c r="L356" s="48"/>
      <c r="M356" s="48"/>
      <c r="N356" s="48"/>
      <c r="O356" s="48"/>
      <c r="P356" s="48"/>
      <c r="Q356" s="48"/>
    </row>
    <row r="357" spans="2:17" s="46" customFormat="1" ht="15" customHeight="1">
      <c r="B357" s="47"/>
      <c r="C357" s="48"/>
      <c r="D357" s="48"/>
      <c r="E357" s="48"/>
      <c r="F357" s="48"/>
      <c r="G357" s="48"/>
      <c r="H357" s="48"/>
      <c r="I357" s="48"/>
      <c r="J357" s="48"/>
      <c r="K357" s="48"/>
      <c r="L357" s="48"/>
      <c r="M357" s="48"/>
      <c r="N357" s="48"/>
      <c r="O357" s="48"/>
      <c r="P357" s="48"/>
      <c r="Q357" s="48"/>
    </row>
    <row r="358" spans="2:17" s="46" customFormat="1" ht="15" customHeight="1">
      <c r="B358" s="47"/>
      <c r="C358" s="48"/>
      <c r="D358" s="48"/>
      <c r="E358" s="48"/>
      <c r="F358" s="48"/>
      <c r="G358" s="48"/>
      <c r="H358" s="48"/>
      <c r="I358" s="48"/>
      <c r="J358" s="48"/>
      <c r="K358" s="48"/>
      <c r="L358" s="48"/>
      <c r="M358" s="48"/>
      <c r="N358" s="48"/>
      <c r="O358" s="48"/>
      <c r="P358" s="48"/>
      <c r="Q358" s="48"/>
    </row>
    <row r="359" spans="2:17" s="46" customFormat="1" ht="15" customHeight="1">
      <c r="B359" s="47"/>
      <c r="C359" s="48"/>
      <c r="D359" s="48"/>
      <c r="E359" s="48"/>
      <c r="F359" s="48"/>
      <c r="G359" s="48"/>
      <c r="H359" s="48"/>
      <c r="I359" s="48"/>
      <c r="J359" s="48"/>
      <c r="K359" s="48"/>
      <c r="L359" s="48"/>
      <c r="M359" s="48"/>
      <c r="N359" s="48"/>
      <c r="O359" s="48"/>
      <c r="P359" s="48"/>
      <c r="Q359" s="48"/>
    </row>
    <row r="360" spans="2:17" s="46" customFormat="1" ht="15" customHeight="1">
      <c r="B360" s="47"/>
      <c r="C360" s="48"/>
      <c r="D360" s="48"/>
      <c r="E360" s="48"/>
      <c r="F360" s="48"/>
      <c r="G360" s="48"/>
      <c r="H360" s="48"/>
      <c r="I360" s="48"/>
      <c r="J360" s="48"/>
      <c r="K360" s="48"/>
      <c r="L360" s="48"/>
      <c r="M360" s="48"/>
      <c r="N360" s="48"/>
      <c r="O360" s="48"/>
      <c r="P360" s="48"/>
      <c r="Q360" s="48"/>
    </row>
    <row r="361" spans="2:17" s="46" customFormat="1" ht="15" customHeight="1">
      <c r="B361" s="47"/>
      <c r="C361" s="48"/>
      <c r="D361" s="48"/>
      <c r="E361" s="48"/>
      <c r="F361" s="48"/>
      <c r="G361" s="48"/>
      <c r="H361" s="48"/>
      <c r="I361" s="48"/>
      <c r="J361" s="48"/>
      <c r="K361" s="48"/>
      <c r="L361" s="48"/>
      <c r="M361" s="48"/>
      <c r="N361" s="48"/>
      <c r="O361" s="48"/>
      <c r="P361" s="48"/>
      <c r="Q361" s="48"/>
    </row>
    <row r="362" spans="2:17" s="46" customFormat="1" ht="15" customHeight="1">
      <c r="B362" s="47"/>
      <c r="C362" s="48"/>
      <c r="D362" s="48"/>
      <c r="E362" s="48"/>
      <c r="F362" s="48"/>
      <c r="G362" s="48"/>
      <c r="H362" s="48"/>
      <c r="I362" s="48"/>
      <c r="J362" s="48"/>
      <c r="K362" s="48"/>
      <c r="L362" s="48"/>
      <c r="M362" s="48"/>
      <c r="N362" s="48"/>
      <c r="O362" s="48"/>
      <c r="P362" s="48"/>
      <c r="Q362" s="48"/>
    </row>
    <row r="363" spans="2:17" s="46" customFormat="1" ht="15" customHeight="1">
      <c r="B363" s="47"/>
      <c r="C363" s="48"/>
      <c r="D363" s="48"/>
      <c r="E363" s="48"/>
      <c r="F363" s="48"/>
      <c r="G363" s="48"/>
      <c r="H363" s="48"/>
      <c r="I363" s="48"/>
      <c r="J363" s="48"/>
      <c r="K363" s="48"/>
      <c r="L363" s="48"/>
      <c r="M363" s="48"/>
      <c r="N363" s="48"/>
      <c r="O363" s="48"/>
      <c r="P363" s="48"/>
      <c r="Q363" s="48"/>
    </row>
    <row r="364" spans="2:17" s="46" customFormat="1" ht="15" customHeight="1">
      <c r="B364" s="47"/>
      <c r="C364" s="48"/>
      <c r="D364" s="48"/>
      <c r="E364" s="48"/>
      <c r="F364" s="48"/>
      <c r="G364" s="48"/>
      <c r="H364" s="48"/>
      <c r="I364" s="48"/>
      <c r="J364" s="48"/>
      <c r="K364" s="48"/>
      <c r="L364" s="48"/>
      <c r="M364" s="48"/>
      <c r="N364" s="48"/>
      <c r="O364" s="48"/>
      <c r="P364" s="48"/>
      <c r="Q364" s="48"/>
    </row>
    <row r="365" spans="2:17" s="46" customFormat="1" ht="15" customHeight="1">
      <c r="B365" s="47"/>
      <c r="C365" s="48"/>
      <c r="D365" s="48"/>
      <c r="E365" s="48"/>
      <c r="F365" s="48"/>
      <c r="G365" s="48"/>
      <c r="H365" s="48"/>
      <c r="I365" s="48"/>
      <c r="J365" s="48"/>
      <c r="K365" s="48"/>
      <c r="L365" s="48"/>
      <c r="M365" s="48"/>
      <c r="N365" s="48"/>
      <c r="O365" s="48"/>
      <c r="P365" s="48"/>
      <c r="Q365" s="48"/>
    </row>
    <row r="366" spans="2:17" s="46" customFormat="1" ht="15" customHeight="1">
      <c r="B366" s="47"/>
      <c r="C366" s="48"/>
      <c r="D366" s="48"/>
      <c r="E366" s="48"/>
      <c r="F366" s="48"/>
      <c r="G366" s="48"/>
      <c r="H366" s="48"/>
      <c r="I366" s="48"/>
      <c r="J366" s="48"/>
      <c r="K366" s="48"/>
      <c r="L366" s="48"/>
      <c r="M366" s="48"/>
      <c r="N366" s="48"/>
      <c r="O366" s="48"/>
      <c r="P366" s="48"/>
      <c r="Q366" s="48"/>
    </row>
    <row r="367" spans="2:17" s="46" customFormat="1" ht="15" customHeight="1">
      <c r="B367" s="47"/>
      <c r="C367" s="48"/>
      <c r="D367" s="48"/>
      <c r="E367" s="48"/>
      <c r="F367" s="48"/>
      <c r="G367" s="48"/>
      <c r="H367" s="48"/>
      <c r="I367" s="48"/>
      <c r="J367" s="48"/>
      <c r="K367" s="48"/>
      <c r="L367" s="48"/>
      <c r="M367" s="48"/>
      <c r="N367" s="48"/>
      <c r="O367" s="48"/>
      <c r="P367" s="48"/>
      <c r="Q367" s="48"/>
    </row>
    <row r="368" spans="2:17" s="46" customFormat="1" ht="15" customHeight="1">
      <c r="B368" s="47"/>
      <c r="C368" s="48"/>
      <c r="D368" s="48"/>
      <c r="E368" s="48"/>
      <c r="F368" s="48"/>
      <c r="G368" s="48"/>
      <c r="H368" s="48"/>
      <c r="I368" s="48"/>
      <c r="J368" s="48"/>
      <c r="K368" s="48"/>
      <c r="L368" s="48"/>
      <c r="M368" s="48"/>
      <c r="N368" s="48"/>
      <c r="O368" s="48"/>
      <c r="P368" s="48"/>
      <c r="Q368" s="48"/>
    </row>
    <row r="369" spans="2:17" s="46" customFormat="1" ht="15" customHeight="1">
      <c r="B369" s="47"/>
      <c r="C369" s="48"/>
      <c r="D369" s="48"/>
      <c r="E369" s="48"/>
      <c r="F369" s="48"/>
      <c r="G369" s="48"/>
      <c r="H369" s="48"/>
      <c r="I369" s="48"/>
      <c r="J369" s="48"/>
      <c r="K369" s="48"/>
      <c r="L369" s="48"/>
      <c r="M369" s="48"/>
      <c r="N369" s="48"/>
      <c r="O369" s="48"/>
      <c r="P369" s="48"/>
      <c r="Q369" s="48"/>
    </row>
    <row r="370" spans="2:17" s="46" customFormat="1" ht="15" customHeight="1">
      <c r="B370" s="47"/>
      <c r="C370" s="48"/>
      <c r="D370" s="48"/>
      <c r="E370" s="48"/>
      <c r="F370" s="48"/>
      <c r="G370" s="48"/>
      <c r="H370" s="48"/>
      <c r="I370" s="48"/>
      <c r="J370" s="48"/>
      <c r="K370" s="48"/>
      <c r="L370" s="48"/>
      <c r="M370" s="48"/>
      <c r="N370" s="48"/>
      <c r="O370" s="48"/>
      <c r="P370" s="48"/>
      <c r="Q370" s="48"/>
    </row>
    <row r="371" spans="2:17" s="46" customFormat="1" ht="15" customHeight="1">
      <c r="B371" s="47"/>
      <c r="C371" s="48"/>
      <c r="D371" s="48"/>
      <c r="E371" s="48"/>
      <c r="F371" s="48"/>
      <c r="G371" s="48"/>
      <c r="H371" s="48"/>
      <c r="I371" s="48"/>
      <c r="J371" s="48"/>
      <c r="K371" s="48"/>
      <c r="L371" s="48"/>
      <c r="M371" s="48"/>
      <c r="N371" s="48"/>
      <c r="O371" s="48"/>
      <c r="P371" s="48"/>
      <c r="Q371" s="48"/>
    </row>
    <row r="372" spans="2:17" s="46" customFormat="1" ht="15" customHeight="1">
      <c r="B372" s="47"/>
      <c r="C372" s="48"/>
      <c r="D372" s="48"/>
      <c r="E372" s="48"/>
      <c r="F372" s="48"/>
      <c r="G372" s="48"/>
      <c r="H372" s="48"/>
      <c r="I372" s="48"/>
      <c r="J372" s="48"/>
      <c r="K372" s="48"/>
      <c r="L372" s="48"/>
      <c r="M372" s="48"/>
      <c r="N372" s="48"/>
      <c r="O372" s="48"/>
      <c r="P372" s="48"/>
      <c r="Q372" s="48"/>
    </row>
    <row r="373" spans="2:17" s="46" customFormat="1" ht="15" customHeight="1">
      <c r="B373" s="47"/>
      <c r="C373" s="48"/>
      <c r="D373" s="48"/>
      <c r="E373" s="48"/>
      <c r="F373" s="48"/>
      <c r="G373" s="48"/>
      <c r="H373" s="48"/>
      <c r="I373" s="48"/>
      <c r="J373" s="48"/>
      <c r="K373" s="48"/>
      <c r="L373" s="48"/>
      <c r="M373" s="48"/>
      <c r="N373" s="48"/>
      <c r="O373" s="48"/>
      <c r="P373" s="48"/>
      <c r="Q373" s="48"/>
    </row>
    <row r="374" spans="2:17" s="46" customFormat="1" ht="15" customHeight="1">
      <c r="B374" s="47"/>
      <c r="C374" s="48"/>
      <c r="D374" s="48"/>
      <c r="E374" s="48"/>
      <c r="F374" s="48"/>
      <c r="G374" s="48"/>
      <c r="H374" s="48"/>
      <c r="I374" s="48"/>
      <c r="J374" s="48"/>
      <c r="K374" s="48"/>
      <c r="L374" s="48"/>
      <c r="M374" s="48"/>
      <c r="N374" s="48"/>
      <c r="O374" s="48"/>
      <c r="P374" s="48"/>
      <c r="Q374" s="48"/>
    </row>
    <row r="375" spans="2:17" s="46" customFormat="1" ht="15" customHeight="1">
      <c r="B375" s="47"/>
      <c r="C375" s="48"/>
      <c r="D375" s="48"/>
      <c r="E375" s="48"/>
      <c r="F375" s="48"/>
      <c r="G375" s="48"/>
      <c r="H375" s="48"/>
      <c r="I375" s="48"/>
      <c r="J375" s="48"/>
      <c r="K375" s="48"/>
      <c r="L375" s="48"/>
      <c r="M375" s="48"/>
      <c r="N375" s="48"/>
      <c r="O375" s="48"/>
      <c r="P375" s="48"/>
      <c r="Q375" s="48"/>
    </row>
    <row r="376" spans="2:17" s="46" customFormat="1" ht="15" customHeight="1">
      <c r="B376" s="47"/>
      <c r="C376" s="48"/>
      <c r="D376" s="48"/>
      <c r="E376" s="48"/>
      <c r="F376" s="48"/>
      <c r="G376" s="48"/>
      <c r="H376" s="48"/>
      <c r="I376" s="48"/>
      <c r="J376" s="48"/>
      <c r="K376" s="48"/>
      <c r="L376" s="48"/>
      <c r="M376" s="48"/>
      <c r="N376" s="48"/>
      <c r="O376" s="48"/>
      <c r="P376" s="48"/>
      <c r="Q376" s="48"/>
    </row>
    <row r="377" spans="2:17" s="46" customFormat="1" ht="15" customHeight="1">
      <c r="B377" s="47"/>
      <c r="C377" s="48"/>
      <c r="D377" s="48"/>
      <c r="E377" s="48"/>
      <c r="F377" s="48"/>
      <c r="G377" s="48"/>
      <c r="H377" s="48"/>
      <c r="I377" s="48"/>
      <c r="J377" s="48"/>
      <c r="K377" s="48"/>
      <c r="L377" s="48"/>
      <c r="M377" s="48"/>
      <c r="N377" s="48"/>
      <c r="O377" s="48"/>
      <c r="P377" s="48"/>
      <c r="Q377" s="48"/>
    </row>
    <row r="378" spans="2:17" s="46" customFormat="1" ht="15" customHeight="1">
      <c r="B378" s="47"/>
      <c r="C378" s="48"/>
      <c r="D378" s="48"/>
      <c r="E378" s="48"/>
      <c r="F378" s="48"/>
      <c r="G378" s="48"/>
      <c r="H378" s="48"/>
      <c r="I378" s="48"/>
      <c r="J378" s="48"/>
      <c r="K378" s="48"/>
      <c r="L378" s="48"/>
      <c r="M378" s="48"/>
      <c r="N378" s="48"/>
      <c r="O378" s="48"/>
      <c r="P378" s="48"/>
      <c r="Q378" s="48"/>
    </row>
    <row r="379" spans="2:17" s="46" customFormat="1" ht="15" customHeight="1">
      <c r="B379" s="47"/>
      <c r="C379" s="48"/>
      <c r="D379" s="48"/>
      <c r="E379" s="48"/>
      <c r="F379" s="48"/>
      <c r="G379" s="48"/>
      <c r="H379" s="48"/>
      <c r="I379" s="48"/>
      <c r="J379" s="48"/>
      <c r="K379" s="48"/>
      <c r="L379" s="48"/>
      <c r="M379" s="48"/>
      <c r="N379" s="48"/>
      <c r="O379" s="48"/>
      <c r="P379" s="48"/>
      <c r="Q379" s="48"/>
    </row>
    <row r="380" spans="2:17" s="46" customFormat="1" ht="15" customHeight="1">
      <c r="B380" s="47"/>
      <c r="C380" s="48"/>
      <c r="D380" s="48"/>
      <c r="E380" s="48"/>
      <c r="F380" s="48"/>
      <c r="G380" s="48"/>
      <c r="H380" s="48"/>
      <c r="I380" s="48"/>
      <c r="J380" s="48"/>
      <c r="K380" s="48"/>
      <c r="L380" s="48"/>
      <c r="M380" s="48"/>
      <c r="N380" s="48"/>
      <c r="O380" s="48"/>
      <c r="P380" s="48"/>
      <c r="Q380" s="48"/>
    </row>
    <row r="381" spans="2:17" s="46" customFormat="1" ht="15" customHeight="1">
      <c r="B381" s="47"/>
      <c r="C381" s="48"/>
      <c r="D381" s="48"/>
      <c r="E381" s="48"/>
      <c r="F381" s="48"/>
      <c r="G381" s="48"/>
      <c r="H381" s="48"/>
      <c r="I381" s="48"/>
      <c r="J381" s="48"/>
      <c r="K381" s="48"/>
      <c r="L381" s="48"/>
      <c r="M381" s="48"/>
      <c r="N381" s="48"/>
      <c r="O381" s="48"/>
      <c r="P381" s="48"/>
      <c r="Q381" s="48"/>
    </row>
    <row r="382" spans="2:17" s="46" customFormat="1" ht="15" customHeight="1">
      <c r="B382" s="47"/>
      <c r="C382" s="48"/>
      <c r="D382" s="48"/>
      <c r="E382" s="48"/>
      <c r="F382" s="48"/>
      <c r="G382" s="48"/>
      <c r="H382" s="48"/>
      <c r="I382" s="48"/>
      <c r="J382" s="48"/>
      <c r="K382" s="48"/>
      <c r="L382" s="48"/>
      <c r="M382" s="48"/>
      <c r="N382" s="48"/>
      <c r="O382" s="48"/>
      <c r="P382" s="48"/>
      <c r="Q382" s="48"/>
    </row>
    <row r="383" spans="2:17" s="46" customFormat="1" ht="15" customHeight="1">
      <c r="B383" s="47"/>
      <c r="C383" s="48"/>
      <c r="D383" s="48"/>
      <c r="E383" s="48"/>
      <c r="F383" s="48"/>
      <c r="G383" s="48"/>
      <c r="H383" s="48"/>
      <c r="I383" s="48"/>
      <c r="J383" s="48"/>
      <c r="K383" s="48"/>
      <c r="L383" s="48"/>
      <c r="M383" s="48"/>
      <c r="N383" s="48"/>
      <c r="O383" s="48"/>
      <c r="P383" s="48"/>
      <c r="Q383" s="48"/>
    </row>
    <row r="384" spans="2:17" s="46" customFormat="1" ht="15" customHeight="1">
      <c r="B384" s="47"/>
      <c r="C384" s="48"/>
      <c r="D384" s="48"/>
      <c r="E384" s="48"/>
      <c r="F384" s="48"/>
      <c r="G384" s="48"/>
      <c r="H384" s="48"/>
      <c r="I384" s="48"/>
      <c r="J384" s="48"/>
      <c r="K384" s="48"/>
      <c r="L384" s="48"/>
      <c r="M384" s="48"/>
      <c r="N384" s="48"/>
      <c r="O384" s="48"/>
      <c r="P384" s="48"/>
      <c r="Q384" s="48"/>
    </row>
    <row r="385" spans="2:17" s="46" customFormat="1" ht="15" customHeight="1">
      <c r="B385" s="47"/>
      <c r="C385" s="48"/>
      <c r="D385" s="48"/>
      <c r="E385" s="48"/>
      <c r="F385" s="48"/>
      <c r="G385" s="48"/>
      <c r="H385" s="48"/>
      <c r="I385" s="48"/>
      <c r="J385" s="48"/>
      <c r="K385" s="48"/>
      <c r="L385" s="48"/>
      <c r="M385" s="48"/>
      <c r="N385" s="48"/>
      <c r="O385" s="48"/>
      <c r="P385" s="48"/>
      <c r="Q385" s="48"/>
    </row>
    <row r="386" spans="2:17" s="46" customFormat="1" ht="15" customHeight="1">
      <c r="B386" s="47"/>
      <c r="C386" s="48"/>
      <c r="D386" s="48"/>
      <c r="E386" s="48"/>
      <c r="F386" s="48"/>
      <c r="G386" s="48"/>
      <c r="H386" s="48"/>
      <c r="I386" s="48"/>
      <c r="J386" s="48"/>
      <c r="K386" s="48"/>
      <c r="L386" s="48"/>
      <c r="M386" s="48"/>
      <c r="N386" s="48"/>
      <c r="O386" s="48"/>
      <c r="P386" s="48"/>
      <c r="Q386" s="48"/>
    </row>
    <row r="387" spans="2:17" s="46" customFormat="1" ht="15" customHeight="1">
      <c r="B387" s="47"/>
      <c r="C387" s="48"/>
      <c r="D387" s="48"/>
      <c r="E387" s="48"/>
      <c r="F387" s="48"/>
      <c r="G387" s="48"/>
      <c r="H387" s="48"/>
      <c r="I387" s="48"/>
      <c r="J387" s="48"/>
      <c r="K387" s="48"/>
      <c r="L387" s="48"/>
      <c r="M387" s="48"/>
      <c r="N387" s="48"/>
      <c r="O387" s="48"/>
      <c r="P387" s="48"/>
      <c r="Q387" s="48"/>
    </row>
    <row r="388" spans="2:17" s="46" customFormat="1" ht="15" customHeight="1">
      <c r="B388" s="47"/>
      <c r="C388" s="48"/>
      <c r="D388" s="48"/>
      <c r="E388" s="48"/>
      <c r="F388" s="48"/>
      <c r="G388" s="48"/>
      <c r="H388" s="48"/>
      <c r="I388" s="48"/>
      <c r="J388" s="48"/>
      <c r="K388" s="48"/>
      <c r="L388" s="48"/>
      <c r="M388" s="48"/>
      <c r="N388" s="48"/>
      <c r="O388" s="48"/>
      <c r="P388" s="48"/>
      <c r="Q388" s="48"/>
    </row>
    <row r="389" spans="2:17" s="46" customFormat="1" ht="15" customHeight="1">
      <c r="B389" s="47"/>
      <c r="C389" s="48"/>
      <c r="D389" s="48"/>
      <c r="E389" s="48"/>
      <c r="F389" s="48"/>
      <c r="G389" s="48"/>
      <c r="H389" s="48"/>
      <c r="I389" s="48"/>
      <c r="J389" s="48"/>
      <c r="K389" s="48"/>
      <c r="L389" s="48"/>
      <c r="M389" s="48"/>
      <c r="N389" s="48"/>
      <c r="O389" s="48"/>
      <c r="P389" s="48"/>
      <c r="Q389" s="48"/>
    </row>
    <row r="390" spans="2:17" s="46" customFormat="1" ht="15" customHeight="1">
      <c r="B390" s="47"/>
      <c r="C390" s="48"/>
      <c r="D390" s="48"/>
      <c r="E390" s="48"/>
      <c r="F390" s="48"/>
      <c r="G390" s="48"/>
      <c r="H390" s="48"/>
      <c r="I390" s="48"/>
      <c r="J390" s="48"/>
      <c r="K390" s="48"/>
      <c r="L390" s="48"/>
      <c r="M390" s="48"/>
      <c r="N390" s="48"/>
      <c r="O390" s="48"/>
      <c r="P390" s="48"/>
      <c r="Q390" s="48"/>
    </row>
    <row r="391" spans="2:17" s="46" customFormat="1" ht="15" customHeight="1">
      <c r="B391" s="47"/>
      <c r="C391" s="48"/>
      <c r="D391" s="48"/>
      <c r="E391" s="48"/>
      <c r="F391" s="48"/>
      <c r="G391" s="48"/>
      <c r="H391" s="48"/>
      <c r="I391" s="48"/>
      <c r="J391" s="48"/>
      <c r="K391" s="48"/>
      <c r="L391" s="48"/>
      <c r="M391" s="48"/>
      <c r="N391" s="48"/>
      <c r="O391" s="48"/>
      <c r="P391" s="48"/>
      <c r="Q391" s="48"/>
    </row>
    <row r="392" spans="2:17" s="46" customFormat="1" ht="15" customHeight="1">
      <c r="B392" s="47"/>
      <c r="C392" s="48"/>
      <c r="D392" s="48"/>
      <c r="E392" s="48"/>
      <c r="F392" s="48"/>
      <c r="G392" s="48"/>
      <c r="H392" s="48"/>
      <c r="I392" s="48"/>
      <c r="J392" s="48"/>
      <c r="K392" s="48"/>
      <c r="L392" s="48"/>
      <c r="M392" s="48"/>
      <c r="N392" s="48"/>
      <c r="O392" s="48"/>
      <c r="P392" s="48"/>
      <c r="Q392" s="48"/>
    </row>
    <row r="393" spans="2:17" s="46" customFormat="1" ht="15" customHeight="1">
      <c r="B393" s="47"/>
      <c r="C393" s="48"/>
      <c r="D393" s="48"/>
      <c r="E393" s="48"/>
      <c r="F393" s="48"/>
      <c r="G393" s="48"/>
      <c r="H393" s="48"/>
      <c r="I393" s="48"/>
      <c r="J393" s="48"/>
      <c r="K393" s="48"/>
      <c r="L393" s="48"/>
      <c r="M393" s="48"/>
      <c r="N393" s="48"/>
      <c r="O393" s="48"/>
      <c r="P393" s="48"/>
      <c r="Q393" s="48"/>
    </row>
    <row r="394" spans="2:17" s="46" customFormat="1" ht="15" customHeight="1">
      <c r="B394" s="47"/>
      <c r="C394" s="48"/>
      <c r="D394" s="48"/>
      <c r="E394" s="48"/>
      <c r="F394" s="48"/>
      <c r="G394" s="48"/>
      <c r="H394" s="48"/>
      <c r="I394" s="48"/>
      <c r="J394" s="48"/>
      <c r="K394" s="48"/>
      <c r="L394" s="48"/>
      <c r="M394" s="48"/>
      <c r="N394" s="48"/>
      <c r="O394" s="48"/>
      <c r="P394" s="48"/>
      <c r="Q394" s="48"/>
    </row>
    <row r="395" spans="2:17" s="46" customFormat="1" ht="15" customHeight="1">
      <c r="B395" s="47"/>
      <c r="C395" s="48"/>
      <c r="D395" s="48"/>
      <c r="E395" s="48"/>
      <c r="F395" s="48"/>
      <c r="G395" s="48"/>
      <c r="H395" s="48"/>
      <c r="I395" s="48"/>
      <c r="J395" s="48"/>
      <c r="K395" s="48"/>
      <c r="L395" s="48"/>
      <c r="M395" s="48"/>
      <c r="N395" s="48"/>
      <c r="O395" s="48"/>
      <c r="P395" s="48"/>
      <c r="Q395" s="48"/>
    </row>
    <row r="396" spans="2:17" s="46" customFormat="1" ht="15" customHeight="1">
      <c r="B396" s="47"/>
      <c r="C396" s="48"/>
      <c r="D396" s="48"/>
      <c r="E396" s="48"/>
      <c r="F396" s="48"/>
      <c r="G396" s="48"/>
      <c r="H396" s="48"/>
      <c r="I396" s="48"/>
      <c r="J396" s="48"/>
      <c r="K396" s="48"/>
      <c r="L396" s="48"/>
      <c r="M396" s="48"/>
      <c r="N396" s="48"/>
      <c r="O396" s="48"/>
      <c r="P396" s="48"/>
      <c r="Q396" s="48"/>
    </row>
    <row r="397" spans="2:17" s="46" customFormat="1" ht="15" customHeight="1">
      <c r="B397" s="47"/>
      <c r="C397" s="48"/>
      <c r="D397" s="48"/>
      <c r="E397" s="48"/>
      <c r="F397" s="48"/>
      <c r="G397" s="48"/>
      <c r="H397" s="48"/>
      <c r="I397" s="48"/>
      <c r="J397" s="48"/>
      <c r="K397" s="48"/>
      <c r="L397" s="48"/>
      <c r="M397" s="48"/>
      <c r="N397" s="48"/>
      <c r="O397" s="48"/>
      <c r="P397" s="48"/>
      <c r="Q397" s="48"/>
    </row>
    <row r="398" spans="2:17" s="46" customFormat="1" ht="15" customHeight="1">
      <c r="B398" s="47"/>
      <c r="C398" s="48"/>
      <c r="D398" s="48"/>
      <c r="E398" s="48"/>
      <c r="F398" s="48"/>
      <c r="G398" s="48"/>
      <c r="H398" s="48"/>
      <c r="I398" s="48"/>
      <c r="J398" s="48"/>
      <c r="K398" s="48"/>
      <c r="L398" s="48"/>
      <c r="M398" s="48"/>
      <c r="N398" s="48"/>
      <c r="O398" s="48"/>
      <c r="P398" s="48"/>
      <c r="Q398" s="48"/>
    </row>
    <row r="399" spans="2:17" s="46" customFormat="1" ht="15" customHeight="1">
      <c r="B399" s="47"/>
      <c r="C399" s="48"/>
      <c r="D399" s="48"/>
      <c r="E399" s="48"/>
      <c r="F399" s="48"/>
      <c r="G399" s="48"/>
      <c r="H399" s="48"/>
      <c r="I399" s="48"/>
      <c r="J399" s="48"/>
      <c r="K399" s="48"/>
      <c r="L399" s="48"/>
      <c r="M399" s="48"/>
      <c r="N399" s="48"/>
      <c r="O399" s="48"/>
      <c r="P399" s="48"/>
      <c r="Q399" s="48"/>
    </row>
    <row r="400" spans="2:17" s="46" customFormat="1" ht="15" customHeight="1">
      <c r="B400" s="47"/>
      <c r="C400" s="48"/>
      <c r="D400" s="48"/>
      <c r="E400" s="48"/>
      <c r="F400" s="48"/>
      <c r="G400" s="48"/>
      <c r="H400" s="48"/>
      <c r="I400" s="48"/>
      <c r="J400" s="48"/>
      <c r="K400" s="48"/>
      <c r="L400" s="48"/>
      <c r="M400" s="48"/>
      <c r="N400" s="48"/>
      <c r="O400" s="48"/>
      <c r="P400" s="48"/>
      <c r="Q400" s="48"/>
    </row>
    <row r="401" spans="2:17" s="46" customFormat="1" ht="15" customHeight="1">
      <c r="B401" s="47"/>
      <c r="C401" s="48"/>
      <c r="D401" s="48"/>
      <c r="E401" s="48"/>
      <c r="F401" s="48"/>
      <c r="G401" s="48"/>
      <c r="H401" s="48"/>
      <c r="I401" s="48"/>
      <c r="J401" s="48"/>
      <c r="K401" s="48"/>
      <c r="L401" s="48"/>
      <c r="M401" s="48"/>
      <c r="N401" s="48"/>
      <c r="O401" s="48"/>
      <c r="P401" s="48"/>
      <c r="Q401" s="48"/>
    </row>
    <row r="402" spans="2:17" s="46" customFormat="1" ht="15" customHeight="1">
      <c r="B402" s="47"/>
      <c r="C402" s="48"/>
      <c r="D402" s="48"/>
      <c r="E402" s="48"/>
      <c r="F402" s="48"/>
      <c r="G402" s="48"/>
      <c r="H402" s="48"/>
      <c r="I402" s="48"/>
      <c r="J402" s="48"/>
      <c r="K402" s="48"/>
      <c r="L402" s="48"/>
      <c r="M402" s="48"/>
      <c r="N402" s="48"/>
      <c r="O402" s="48"/>
      <c r="P402" s="48"/>
      <c r="Q402" s="48"/>
    </row>
    <row r="403" spans="2:17" s="46" customFormat="1" ht="15" customHeight="1">
      <c r="B403" s="47"/>
      <c r="C403" s="48"/>
      <c r="D403" s="48"/>
      <c r="E403" s="48"/>
      <c r="F403" s="48"/>
      <c r="G403" s="48"/>
      <c r="H403" s="48"/>
      <c r="I403" s="48"/>
      <c r="J403" s="48"/>
      <c r="K403" s="48"/>
      <c r="L403" s="48"/>
      <c r="M403" s="48"/>
      <c r="N403" s="48"/>
      <c r="O403" s="48"/>
      <c r="P403" s="48"/>
      <c r="Q403" s="48"/>
    </row>
    <row r="404" spans="2:17" s="46" customFormat="1" ht="15" customHeight="1">
      <c r="B404" s="47"/>
      <c r="C404" s="48"/>
      <c r="D404" s="48"/>
      <c r="E404" s="48"/>
      <c r="F404" s="48"/>
      <c r="G404" s="48"/>
      <c r="H404" s="48"/>
      <c r="I404" s="48"/>
      <c r="J404" s="48"/>
      <c r="K404" s="48"/>
      <c r="L404" s="48"/>
      <c r="M404" s="48"/>
      <c r="N404" s="48"/>
      <c r="O404" s="48"/>
      <c r="P404" s="48"/>
      <c r="Q404" s="48"/>
    </row>
    <row r="405" spans="2:17" s="46" customFormat="1" ht="15" customHeight="1">
      <c r="B405" s="47"/>
      <c r="C405" s="48"/>
      <c r="D405" s="48"/>
      <c r="E405" s="48"/>
      <c r="F405" s="48"/>
      <c r="G405" s="48"/>
      <c r="H405" s="48"/>
      <c r="I405" s="48"/>
      <c r="J405" s="48"/>
      <c r="K405" s="48"/>
      <c r="L405" s="48"/>
      <c r="M405" s="48"/>
      <c r="N405" s="48"/>
      <c r="O405" s="48"/>
      <c r="P405" s="48"/>
      <c r="Q405" s="48"/>
    </row>
    <row r="406" spans="2:17" s="46" customFormat="1" ht="15" customHeight="1">
      <c r="B406" s="47"/>
      <c r="C406" s="48"/>
      <c r="D406" s="48"/>
      <c r="E406" s="48"/>
      <c r="F406" s="48"/>
      <c r="G406" s="48"/>
      <c r="H406" s="48"/>
      <c r="I406" s="48"/>
      <c r="J406" s="48"/>
      <c r="K406" s="48"/>
      <c r="L406" s="48"/>
      <c r="M406" s="48"/>
      <c r="N406" s="48"/>
      <c r="O406" s="48"/>
      <c r="P406" s="48"/>
      <c r="Q406" s="48"/>
    </row>
    <row r="407" spans="2:17" s="46" customFormat="1" ht="15" customHeight="1">
      <c r="B407" s="47"/>
      <c r="C407" s="48"/>
      <c r="D407" s="48"/>
      <c r="E407" s="48"/>
      <c r="F407" s="48"/>
      <c r="G407" s="48"/>
      <c r="H407" s="48"/>
      <c r="I407" s="48"/>
      <c r="J407" s="48"/>
      <c r="K407" s="48"/>
      <c r="L407" s="48"/>
      <c r="M407" s="48"/>
      <c r="N407" s="48"/>
      <c r="O407" s="48"/>
      <c r="P407" s="48"/>
      <c r="Q407" s="48"/>
    </row>
    <row r="408" spans="2:17" s="46" customFormat="1" ht="15" customHeight="1">
      <c r="B408" s="47"/>
      <c r="C408" s="48"/>
      <c r="D408" s="48"/>
      <c r="E408" s="48"/>
      <c r="F408" s="48"/>
      <c r="G408" s="48"/>
      <c r="H408" s="48"/>
      <c r="I408" s="48"/>
      <c r="J408" s="48"/>
      <c r="K408" s="48"/>
      <c r="L408" s="48"/>
      <c r="M408" s="48"/>
      <c r="N408" s="48"/>
      <c r="O408" s="48"/>
      <c r="P408" s="48"/>
      <c r="Q408" s="48"/>
    </row>
    <row r="409" spans="2:17" s="46" customFormat="1" ht="15" customHeight="1">
      <c r="B409" s="47"/>
      <c r="C409" s="48"/>
      <c r="D409" s="48"/>
      <c r="E409" s="48"/>
      <c r="F409" s="48"/>
      <c r="G409" s="48"/>
      <c r="H409" s="48"/>
      <c r="I409" s="48"/>
      <c r="J409" s="48"/>
      <c r="K409" s="48"/>
      <c r="L409" s="48"/>
      <c r="M409" s="48"/>
      <c r="N409" s="48"/>
      <c r="O409" s="48"/>
      <c r="P409" s="48"/>
      <c r="Q409" s="48"/>
    </row>
    <row r="410" spans="2:17" s="46" customFormat="1" ht="15" customHeight="1">
      <c r="B410" s="47"/>
      <c r="C410" s="48"/>
      <c r="D410" s="48"/>
      <c r="E410" s="48"/>
      <c r="F410" s="48"/>
      <c r="G410" s="48"/>
      <c r="H410" s="48"/>
      <c r="I410" s="48"/>
      <c r="J410" s="48"/>
      <c r="K410" s="48"/>
      <c r="L410" s="48"/>
      <c r="M410" s="48"/>
      <c r="N410" s="48"/>
      <c r="O410" s="48"/>
      <c r="P410" s="48"/>
      <c r="Q410" s="48"/>
    </row>
    <row r="411" spans="2:17" s="46" customFormat="1" ht="15" customHeight="1">
      <c r="B411" s="47"/>
      <c r="C411" s="48"/>
      <c r="D411" s="48"/>
      <c r="E411" s="48"/>
      <c r="F411" s="48"/>
      <c r="G411" s="48"/>
      <c r="H411" s="48"/>
      <c r="I411" s="48"/>
      <c r="J411" s="48"/>
      <c r="K411" s="48"/>
      <c r="L411" s="48"/>
      <c r="M411" s="48"/>
      <c r="N411" s="48"/>
      <c r="O411" s="48"/>
      <c r="P411" s="48"/>
      <c r="Q411" s="48"/>
    </row>
    <row r="412" spans="2:17" s="46" customFormat="1" ht="15" customHeight="1">
      <c r="B412" s="47"/>
      <c r="C412" s="48"/>
      <c r="D412" s="48"/>
      <c r="E412" s="48"/>
      <c r="F412" s="48"/>
      <c r="G412" s="48"/>
      <c r="H412" s="48"/>
      <c r="I412" s="48"/>
      <c r="J412" s="48"/>
      <c r="K412" s="48"/>
      <c r="L412" s="48"/>
      <c r="M412" s="48"/>
      <c r="N412" s="48"/>
      <c r="O412" s="48"/>
      <c r="P412" s="48"/>
      <c r="Q412" s="48"/>
    </row>
    <row r="413" spans="2:17" s="46" customFormat="1" ht="15" customHeight="1">
      <c r="B413" s="47"/>
      <c r="C413" s="48"/>
      <c r="D413" s="48"/>
      <c r="E413" s="48"/>
      <c r="F413" s="48"/>
      <c r="G413" s="48"/>
      <c r="H413" s="48"/>
      <c r="I413" s="48"/>
      <c r="J413" s="48"/>
      <c r="K413" s="48"/>
      <c r="L413" s="48"/>
      <c r="M413" s="48"/>
      <c r="N413" s="48"/>
      <c r="O413" s="48"/>
      <c r="P413" s="48"/>
      <c r="Q413" s="48"/>
    </row>
    <row r="414" spans="2:17" s="46" customFormat="1" ht="15" customHeight="1">
      <c r="B414" s="47"/>
      <c r="C414" s="48"/>
      <c r="D414" s="48"/>
      <c r="E414" s="48"/>
      <c r="F414" s="48"/>
      <c r="G414" s="48"/>
      <c r="H414" s="48"/>
      <c r="I414" s="48"/>
      <c r="J414" s="48"/>
      <c r="K414" s="48"/>
      <c r="L414" s="48"/>
      <c r="M414" s="48"/>
      <c r="N414" s="48"/>
      <c r="O414" s="48"/>
      <c r="P414" s="48"/>
      <c r="Q414" s="48"/>
    </row>
    <row r="415" spans="2:17" s="46" customFormat="1" ht="15" customHeight="1">
      <c r="B415" s="47"/>
      <c r="C415" s="48"/>
      <c r="D415" s="48"/>
      <c r="E415" s="48"/>
      <c r="F415" s="48"/>
      <c r="G415" s="48"/>
      <c r="H415" s="48"/>
      <c r="I415" s="48"/>
      <c r="J415" s="48"/>
      <c r="K415" s="48"/>
      <c r="L415" s="48"/>
      <c r="M415" s="48"/>
      <c r="N415" s="48"/>
      <c r="O415" s="48"/>
      <c r="P415" s="48"/>
      <c r="Q415" s="48"/>
    </row>
    <row r="416" spans="2:17" s="46" customFormat="1" ht="15" customHeight="1">
      <c r="B416" s="47"/>
      <c r="C416" s="48"/>
      <c r="D416" s="48"/>
      <c r="E416" s="48"/>
      <c r="F416" s="48"/>
      <c r="G416" s="48"/>
      <c r="H416" s="48"/>
      <c r="I416" s="48"/>
      <c r="J416" s="48"/>
      <c r="K416" s="48"/>
      <c r="L416" s="48"/>
      <c r="M416" s="48"/>
      <c r="N416" s="48"/>
      <c r="O416" s="48"/>
      <c r="P416" s="48"/>
      <c r="Q416" s="48"/>
    </row>
    <row r="417" spans="2:17" s="46" customFormat="1" ht="15" customHeight="1">
      <c r="B417" s="47"/>
      <c r="C417" s="48"/>
      <c r="D417" s="48"/>
      <c r="E417" s="48"/>
      <c r="F417" s="48"/>
      <c r="G417" s="48"/>
      <c r="H417" s="48"/>
      <c r="I417" s="48"/>
      <c r="J417" s="48"/>
      <c r="K417" s="48"/>
      <c r="L417" s="48"/>
      <c r="M417" s="48"/>
      <c r="N417" s="48"/>
      <c r="O417" s="48"/>
      <c r="P417" s="48"/>
      <c r="Q417" s="48"/>
    </row>
    <row r="418" spans="2:17" s="46" customFormat="1" ht="15" customHeight="1">
      <c r="B418" s="47"/>
      <c r="C418" s="48"/>
      <c r="D418" s="48"/>
      <c r="E418" s="48"/>
      <c r="F418" s="48"/>
      <c r="G418" s="48"/>
      <c r="H418" s="48"/>
      <c r="I418" s="48"/>
      <c r="J418" s="48"/>
      <c r="K418" s="48"/>
      <c r="L418" s="48"/>
      <c r="M418" s="48"/>
      <c r="N418" s="48"/>
      <c r="O418" s="48"/>
      <c r="P418" s="48"/>
      <c r="Q418" s="48"/>
    </row>
    <row r="419" spans="2:17" s="46" customFormat="1" ht="15" customHeight="1">
      <c r="B419" s="47"/>
      <c r="C419" s="48"/>
      <c r="D419" s="48"/>
      <c r="E419" s="48"/>
      <c r="F419" s="48"/>
      <c r="G419" s="48"/>
      <c r="H419" s="48"/>
      <c r="I419" s="48"/>
      <c r="J419" s="48"/>
      <c r="K419" s="48"/>
      <c r="L419" s="48"/>
      <c r="M419" s="48"/>
      <c r="N419" s="48"/>
      <c r="O419" s="48"/>
      <c r="P419" s="48"/>
      <c r="Q419" s="48"/>
    </row>
    <row r="420" spans="2:17" s="46" customFormat="1" ht="15" customHeight="1">
      <c r="B420" s="47"/>
      <c r="C420" s="48"/>
      <c r="D420" s="48"/>
      <c r="E420" s="48"/>
      <c r="F420" s="48"/>
      <c r="G420" s="48"/>
      <c r="H420" s="48"/>
      <c r="I420" s="48"/>
      <c r="J420" s="48"/>
      <c r="K420" s="48"/>
      <c r="L420" s="48"/>
      <c r="M420" s="48"/>
      <c r="N420" s="48"/>
      <c r="O420" s="48"/>
      <c r="P420" s="48"/>
      <c r="Q420" s="48"/>
    </row>
    <row r="421" spans="2:17" s="46" customFormat="1" ht="15" customHeight="1">
      <c r="B421" s="47"/>
      <c r="C421" s="48"/>
      <c r="D421" s="48"/>
      <c r="E421" s="48"/>
      <c r="F421" s="48"/>
      <c r="G421" s="48"/>
      <c r="H421" s="48"/>
      <c r="I421" s="48"/>
      <c r="J421" s="48"/>
      <c r="K421" s="48"/>
      <c r="L421" s="48"/>
      <c r="M421" s="48"/>
      <c r="N421" s="48"/>
      <c r="O421" s="48"/>
      <c r="P421" s="48"/>
      <c r="Q421" s="48"/>
    </row>
    <row r="422" spans="2:17" s="46" customFormat="1" ht="15" customHeight="1">
      <c r="B422" s="47"/>
      <c r="C422" s="48"/>
      <c r="D422" s="48"/>
      <c r="E422" s="48"/>
      <c r="F422" s="48"/>
      <c r="G422" s="48"/>
      <c r="H422" s="48"/>
      <c r="I422" s="48"/>
      <c r="J422" s="48"/>
      <c r="K422" s="48"/>
      <c r="L422" s="48"/>
      <c r="M422" s="48"/>
      <c r="N422" s="48"/>
      <c r="O422" s="48"/>
      <c r="P422" s="48"/>
      <c r="Q422" s="48"/>
    </row>
    <row r="423" spans="2:17" s="46" customFormat="1" ht="15" customHeight="1">
      <c r="B423" s="47"/>
      <c r="C423" s="48"/>
      <c r="D423" s="48"/>
      <c r="E423" s="48"/>
      <c r="F423" s="48"/>
      <c r="G423" s="48"/>
      <c r="H423" s="48"/>
      <c r="I423" s="48"/>
      <c r="J423" s="48"/>
      <c r="K423" s="48"/>
      <c r="L423" s="48"/>
      <c r="M423" s="48"/>
      <c r="N423" s="48"/>
      <c r="O423" s="48"/>
      <c r="P423" s="48"/>
      <c r="Q423" s="48"/>
    </row>
    <row r="424" spans="2:17" s="46" customFormat="1" ht="15" customHeight="1">
      <c r="B424" s="47"/>
      <c r="C424" s="48"/>
      <c r="D424" s="48"/>
      <c r="E424" s="48"/>
      <c r="F424" s="48"/>
      <c r="G424" s="48"/>
      <c r="H424" s="48"/>
      <c r="I424" s="48"/>
      <c r="J424" s="48"/>
      <c r="K424" s="48"/>
      <c r="L424" s="48"/>
      <c r="M424" s="48"/>
      <c r="N424" s="48"/>
      <c r="O424" s="48"/>
      <c r="P424" s="48"/>
      <c r="Q424" s="48"/>
    </row>
    <row r="425" spans="2:17" s="46" customFormat="1" ht="15" customHeight="1">
      <c r="B425" s="47"/>
      <c r="C425" s="48"/>
      <c r="D425" s="48"/>
      <c r="E425" s="48"/>
      <c r="F425" s="48"/>
      <c r="G425" s="48"/>
      <c r="H425" s="48"/>
      <c r="I425" s="48"/>
      <c r="J425" s="48"/>
      <c r="K425" s="48"/>
      <c r="L425" s="48"/>
      <c r="M425" s="48"/>
      <c r="N425" s="48"/>
      <c r="O425" s="48"/>
      <c r="P425" s="48"/>
      <c r="Q425" s="48"/>
    </row>
    <row r="426" spans="2:17" s="46" customFormat="1" ht="15" customHeight="1">
      <c r="B426" s="47"/>
      <c r="C426" s="48"/>
      <c r="D426" s="48"/>
      <c r="E426" s="48"/>
      <c r="F426" s="48"/>
      <c r="G426" s="48"/>
      <c r="H426" s="48"/>
      <c r="I426" s="48"/>
      <c r="J426" s="48"/>
      <c r="K426" s="48"/>
      <c r="L426" s="48"/>
      <c r="M426" s="48"/>
      <c r="N426" s="48"/>
      <c r="O426" s="48"/>
      <c r="P426" s="48"/>
      <c r="Q426" s="48"/>
    </row>
    <row r="427" spans="2:17" s="46" customFormat="1" ht="15" customHeight="1">
      <c r="B427" s="47"/>
      <c r="C427" s="48"/>
      <c r="D427" s="48"/>
      <c r="E427" s="48"/>
      <c r="F427" s="48"/>
      <c r="G427" s="48"/>
      <c r="H427" s="48"/>
      <c r="I427" s="48"/>
      <c r="J427" s="48"/>
      <c r="K427" s="48"/>
      <c r="L427" s="48"/>
      <c r="M427" s="48"/>
      <c r="N427" s="48"/>
      <c r="O427" s="48"/>
      <c r="P427" s="48"/>
      <c r="Q427" s="48"/>
    </row>
    <row r="428" spans="2:17" s="46" customFormat="1" ht="15" customHeight="1">
      <c r="B428" s="47"/>
      <c r="C428" s="48"/>
      <c r="D428" s="48"/>
      <c r="E428" s="48"/>
      <c r="F428" s="48"/>
      <c r="G428" s="48"/>
      <c r="H428" s="48"/>
      <c r="I428" s="48"/>
      <c r="J428" s="48"/>
      <c r="K428" s="48"/>
      <c r="L428" s="48"/>
      <c r="M428" s="48"/>
      <c r="N428" s="48"/>
      <c r="O428" s="48"/>
      <c r="P428" s="48"/>
      <c r="Q428" s="48"/>
    </row>
    <row r="429" spans="2:17" s="46" customFormat="1" ht="15" customHeight="1">
      <c r="B429" s="47"/>
      <c r="C429" s="48"/>
      <c r="D429" s="48"/>
      <c r="E429" s="48"/>
      <c r="F429" s="48"/>
      <c r="G429" s="48"/>
      <c r="H429" s="48"/>
      <c r="I429" s="48"/>
      <c r="J429" s="48"/>
      <c r="K429" s="48"/>
      <c r="L429" s="48"/>
      <c r="M429" s="48"/>
      <c r="N429" s="48"/>
      <c r="O429" s="48"/>
      <c r="P429" s="48"/>
      <c r="Q429" s="48"/>
    </row>
    <row r="430" spans="2:17" s="46" customFormat="1" ht="15" customHeight="1">
      <c r="B430" s="47"/>
      <c r="C430" s="48"/>
      <c r="D430" s="48"/>
      <c r="E430" s="48"/>
      <c r="F430" s="48"/>
      <c r="G430" s="48"/>
      <c r="H430" s="48"/>
      <c r="I430" s="48"/>
      <c r="J430" s="48"/>
      <c r="K430" s="48"/>
      <c r="L430" s="48"/>
      <c r="M430" s="48"/>
      <c r="N430" s="48"/>
      <c r="O430" s="48"/>
      <c r="P430" s="48"/>
      <c r="Q430" s="48"/>
    </row>
    <row r="431" spans="2:17" s="46" customFormat="1" ht="15" customHeight="1">
      <c r="B431" s="47"/>
      <c r="C431" s="48"/>
      <c r="D431" s="48"/>
      <c r="E431" s="48"/>
      <c r="F431" s="48"/>
      <c r="G431" s="48"/>
      <c r="H431" s="48"/>
      <c r="I431" s="48"/>
      <c r="J431" s="48"/>
      <c r="K431" s="48"/>
      <c r="L431" s="48"/>
      <c r="M431" s="48"/>
      <c r="N431" s="48"/>
      <c r="O431" s="48"/>
      <c r="P431" s="48"/>
      <c r="Q431" s="48"/>
    </row>
    <row r="432" spans="2:17" s="46" customFormat="1" ht="15" customHeight="1">
      <c r="B432" s="47"/>
      <c r="C432" s="48"/>
      <c r="D432" s="48"/>
      <c r="E432" s="48"/>
      <c r="F432" s="48"/>
      <c r="G432" s="48"/>
      <c r="H432" s="48"/>
      <c r="I432" s="48"/>
      <c r="J432" s="48"/>
      <c r="K432" s="48"/>
      <c r="L432" s="48"/>
      <c r="M432" s="48"/>
      <c r="N432" s="48"/>
      <c r="O432" s="48"/>
      <c r="P432" s="48"/>
      <c r="Q432" s="48"/>
    </row>
    <row r="433" spans="2:17" s="46" customFormat="1" ht="15" customHeight="1">
      <c r="B433" s="47"/>
      <c r="C433" s="48"/>
      <c r="D433" s="48"/>
      <c r="E433" s="48"/>
      <c r="F433" s="48"/>
      <c r="G433" s="48"/>
      <c r="H433" s="48"/>
      <c r="I433" s="48"/>
      <c r="J433" s="48"/>
      <c r="K433" s="48"/>
      <c r="L433" s="48"/>
      <c r="M433" s="48"/>
      <c r="N433" s="48"/>
      <c r="O433" s="48"/>
      <c r="P433" s="48"/>
      <c r="Q433" s="48"/>
    </row>
    <row r="434" spans="2:17" s="46" customFormat="1" ht="15" customHeight="1">
      <c r="B434" s="47"/>
      <c r="C434" s="48"/>
      <c r="D434" s="48"/>
      <c r="E434" s="48"/>
      <c r="F434" s="48"/>
      <c r="G434" s="48"/>
      <c r="H434" s="48"/>
      <c r="I434" s="48"/>
      <c r="J434" s="48"/>
      <c r="K434" s="48"/>
      <c r="L434" s="48"/>
      <c r="M434" s="48"/>
      <c r="N434" s="48"/>
      <c r="O434" s="48"/>
      <c r="P434" s="48"/>
      <c r="Q434" s="48"/>
    </row>
    <row r="435" spans="2:17" s="46" customFormat="1" ht="15" customHeight="1">
      <c r="B435" s="47"/>
      <c r="C435" s="48"/>
      <c r="D435" s="48"/>
      <c r="E435" s="48"/>
      <c r="F435" s="48"/>
      <c r="G435" s="48"/>
      <c r="H435" s="48"/>
      <c r="I435" s="48"/>
      <c r="J435" s="48"/>
      <c r="K435" s="48"/>
      <c r="L435" s="48"/>
      <c r="M435" s="48"/>
      <c r="N435" s="48"/>
      <c r="O435" s="48"/>
      <c r="P435" s="48"/>
      <c r="Q435" s="48"/>
    </row>
    <row r="436" spans="2:17" s="46" customFormat="1" ht="15" customHeight="1">
      <c r="B436" s="47"/>
      <c r="C436" s="48"/>
      <c r="D436" s="48"/>
      <c r="E436" s="48"/>
      <c r="F436" s="48"/>
      <c r="G436" s="48"/>
      <c r="H436" s="48"/>
      <c r="I436" s="48"/>
      <c r="J436" s="48"/>
      <c r="K436" s="48"/>
      <c r="L436" s="48"/>
      <c r="M436" s="48"/>
      <c r="N436" s="48"/>
      <c r="O436" s="48"/>
      <c r="P436" s="48"/>
      <c r="Q436" s="48"/>
    </row>
    <row r="437" spans="2:17" s="46" customFormat="1" ht="15" customHeight="1">
      <c r="B437" s="47"/>
      <c r="C437" s="48"/>
      <c r="D437" s="48"/>
      <c r="E437" s="48"/>
      <c r="F437" s="48"/>
      <c r="G437" s="48"/>
      <c r="H437" s="48"/>
      <c r="I437" s="48"/>
      <c r="J437" s="48"/>
      <c r="K437" s="48"/>
      <c r="L437" s="48"/>
      <c r="M437" s="48"/>
      <c r="N437" s="48"/>
      <c r="O437" s="48"/>
      <c r="P437" s="48"/>
      <c r="Q437" s="48"/>
    </row>
    <row r="438" spans="2:17" s="46" customFormat="1" ht="15" customHeight="1">
      <c r="B438" s="47"/>
      <c r="C438" s="48"/>
      <c r="D438" s="48"/>
      <c r="E438" s="48"/>
      <c r="F438" s="48"/>
      <c r="G438" s="48"/>
      <c r="H438" s="48"/>
      <c r="I438" s="48"/>
      <c r="J438" s="48"/>
      <c r="K438" s="48"/>
      <c r="L438" s="48"/>
      <c r="M438" s="48"/>
      <c r="N438" s="48"/>
      <c r="O438" s="48"/>
      <c r="P438" s="48"/>
      <c r="Q438" s="48"/>
    </row>
    <row r="439" spans="2:17" s="46" customFormat="1" ht="15" customHeight="1">
      <c r="B439" s="47"/>
      <c r="C439" s="48"/>
      <c r="D439" s="48"/>
      <c r="E439" s="48"/>
      <c r="F439" s="48"/>
      <c r="G439" s="48"/>
      <c r="H439" s="48"/>
      <c r="I439" s="48"/>
      <c r="J439" s="48"/>
      <c r="K439" s="48"/>
      <c r="L439" s="48"/>
      <c r="M439" s="48"/>
      <c r="N439" s="48"/>
      <c r="O439" s="48"/>
      <c r="P439" s="48"/>
      <c r="Q439" s="48"/>
    </row>
    <row r="440" spans="2:17" s="46" customFormat="1" ht="15" customHeight="1">
      <c r="B440" s="47"/>
      <c r="C440" s="48"/>
      <c r="D440" s="48"/>
      <c r="E440" s="48"/>
      <c r="F440" s="48"/>
      <c r="G440" s="48"/>
      <c r="H440" s="48"/>
      <c r="I440" s="48"/>
      <c r="J440" s="48"/>
      <c r="K440" s="48"/>
      <c r="L440" s="48"/>
      <c r="M440" s="48"/>
      <c r="N440" s="48"/>
      <c r="O440" s="48"/>
      <c r="P440" s="48"/>
      <c r="Q440" s="48"/>
    </row>
    <row r="441" spans="2:17" s="46" customFormat="1" ht="15" customHeight="1">
      <c r="B441" s="47"/>
      <c r="C441" s="48"/>
      <c r="D441" s="48"/>
      <c r="E441" s="48"/>
      <c r="F441" s="48"/>
      <c r="G441" s="48"/>
      <c r="H441" s="48"/>
      <c r="I441" s="48"/>
      <c r="J441" s="48"/>
      <c r="K441" s="48"/>
      <c r="L441" s="48"/>
      <c r="M441" s="48"/>
      <c r="N441" s="48"/>
      <c r="O441" s="48"/>
      <c r="P441" s="48"/>
      <c r="Q441" s="48"/>
    </row>
    <row r="442" spans="2:17" s="46" customFormat="1" ht="15" customHeight="1">
      <c r="B442" s="47"/>
      <c r="C442" s="48"/>
      <c r="D442" s="48"/>
      <c r="E442" s="48"/>
      <c r="F442" s="48"/>
      <c r="G442" s="48"/>
      <c r="H442" s="48"/>
      <c r="I442" s="48"/>
      <c r="J442" s="48"/>
      <c r="K442" s="48"/>
      <c r="L442" s="48"/>
      <c r="M442" s="48"/>
      <c r="N442" s="48"/>
      <c r="O442" s="48"/>
      <c r="P442" s="48"/>
      <c r="Q442" s="48"/>
    </row>
    <row r="443" spans="2:17" s="46" customFormat="1" ht="15" customHeight="1">
      <c r="B443" s="47"/>
      <c r="C443" s="48"/>
      <c r="D443" s="48"/>
      <c r="E443" s="48"/>
      <c r="F443" s="48"/>
      <c r="G443" s="48"/>
      <c r="H443" s="48"/>
      <c r="I443" s="48"/>
      <c r="J443" s="48"/>
      <c r="K443" s="48"/>
      <c r="L443" s="48"/>
      <c r="M443" s="48"/>
      <c r="N443" s="48"/>
      <c r="O443" s="48"/>
      <c r="P443" s="48"/>
      <c r="Q443" s="48"/>
    </row>
    <row r="444" spans="2:17" s="46" customFormat="1" ht="15" customHeight="1">
      <c r="B444" s="47"/>
      <c r="C444" s="48"/>
      <c r="D444" s="48"/>
      <c r="E444" s="48"/>
      <c r="F444" s="48"/>
      <c r="G444" s="48"/>
      <c r="H444" s="48"/>
      <c r="I444" s="48"/>
      <c r="J444" s="48"/>
      <c r="K444" s="48"/>
      <c r="L444" s="48"/>
      <c r="M444" s="48"/>
      <c r="N444" s="48"/>
      <c r="O444" s="48"/>
      <c r="P444" s="48"/>
      <c r="Q444" s="48"/>
    </row>
    <row r="445" spans="2:17" s="46" customFormat="1" ht="15" customHeight="1">
      <c r="B445" s="47"/>
      <c r="C445" s="48"/>
      <c r="D445" s="48"/>
      <c r="E445" s="48"/>
      <c r="F445" s="48"/>
      <c r="G445" s="48"/>
      <c r="H445" s="48"/>
      <c r="I445" s="48"/>
      <c r="J445" s="48"/>
      <c r="K445" s="48"/>
      <c r="L445" s="48"/>
      <c r="M445" s="48"/>
      <c r="N445" s="48"/>
      <c r="O445" s="48"/>
      <c r="P445" s="48"/>
      <c r="Q445" s="48"/>
    </row>
    <row r="446" spans="2:17" s="46" customFormat="1" ht="15" customHeight="1">
      <c r="B446" s="47"/>
      <c r="C446" s="48"/>
      <c r="D446" s="48"/>
      <c r="E446" s="48"/>
      <c r="F446" s="48"/>
      <c r="G446" s="48"/>
      <c r="H446" s="48"/>
      <c r="I446" s="48"/>
      <c r="J446" s="48"/>
      <c r="K446" s="48"/>
      <c r="L446" s="48"/>
      <c r="M446" s="48"/>
      <c r="N446" s="48"/>
      <c r="O446" s="48"/>
      <c r="P446" s="48"/>
      <c r="Q446" s="48"/>
    </row>
    <row r="447" spans="2:17" s="46" customFormat="1" ht="15" customHeight="1">
      <c r="B447" s="47"/>
      <c r="C447" s="48"/>
      <c r="D447" s="48"/>
      <c r="E447" s="48"/>
      <c r="F447" s="48"/>
      <c r="G447" s="48"/>
      <c r="H447" s="48"/>
      <c r="I447" s="48"/>
      <c r="J447" s="48"/>
      <c r="K447" s="48"/>
      <c r="L447" s="48"/>
      <c r="M447" s="48"/>
      <c r="N447" s="48"/>
      <c r="O447" s="48"/>
      <c r="P447" s="48"/>
      <c r="Q447" s="48"/>
    </row>
    <row r="448" spans="2:17" s="46" customFormat="1" ht="15" customHeight="1">
      <c r="B448" s="47"/>
      <c r="C448" s="48"/>
      <c r="D448" s="48"/>
      <c r="E448" s="48"/>
      <c r="F448" s="48"/>
      <c r="G448" s="48"/>
      <c r="H448" s="48"/>
      <c r="I448" s="48"/>
      <c r="J448" s="48"/>
      <c r="K448" s="48"/>
      <c r="L448" s="48"/>
      <c r="M448" s="48"/>
      <c r="N448" s="48"/>
      <c r="O448" s="48"/>
      <c r="P448" s="48"/>
      <c r="Q448" s="48"/>
    </row>
    <row r="449" spans="2:17" s="46" customFormat="1" ht="15" customHeight="1">
      <c r="B449" s="47"/>
      <c r="C449" s="48"/>
      <c r="D449" s="48"/>
      <c r="E449" s="48"/>
      <c r="F449" s="48"/>
      <c r="G449" s="48"/>
      <c r="H449" s="48"/>
      <c r="I449" s="48"/>
      <c r="J449" s="48"/>
      <c r="K449" s="48"/>
      <c r="L449" s="48"/>
      <c r="M449" s="48"/>
      <c r="N449" s="48"/>
      <c r="O449" s="48"/>
      <c r="P449" s="48"/>
      <c r="Q449" s="48"/>
    </row>
    <row r="450" spans="2:17" s="46" customFormat="1" ht="15" customHeight="1">
      <c r="B450" s="47"/>
      <c r="C450" s="48"/>
      <c r="D450" s="48"/>
      <c r="E450" s="48"/>
      <c r="F450" s="48"/>
      <c r="G450" s="48"/>
      <c r="H450" s="48"/>
      <c r="I450" s="48"/>
      <c r="J450" s="48"/>
      <c r="K450" s="48"/>
      <c r="L450" s="48"/>
      <c r="M450" s="48"/>
      <c r="N450" s="48"/>
      <c r="O450" s="48"/>
      <c r="P450" s="48"/>
      <c r="Q450" s="48"/>
    </row>
    <row r="451" spans="2:17" s="46" customFormat="1" ht="15" customHeight="1">
      <c r="B451" s="47"/>
      <c r="C451" s="48"/>
      <c r="D451" s="48"/>
      <c r="E451" s="48"/>
      <c r="F451" s="48"/>
      <c r="G451" s="48"/>
      <c r="H451" s="48"/>
      <c r="I451" s="48"/>
      <c r="J451" s="48"/>
      <c r="K451" s="48"/>
      <c r="L451" s="48"/>
      <c r="M451" s="48"/>
      <c r="N451" s="48"/>
      <c r="O451" s="48"/>
      <c r="P451" s="48"/>
      <c r="Q451" s="48"/>
    </row>
    <row r="452" spans="2:17" s="46" customFormat="1" ht="15" customHeight="1">
      <c r="B452" s="47"/>
      <c r="C452" s="48"/>
      <c r="D452" s="48"/>
      <c r="E452" s="48"/>
      <c r="F452" s="48"/>
      <c r="G452" s="48"/>
      <c r="H452" s="48"/>
      <c r="I452" s="48"/>
      <c r="J452" s="48"/>
      <c r="K452" s="48"/>
      <c r="L452" s="48"/>
      <c r="M452" s="48"/>
      <c r="N452" s="48"/>
      <c r="O452" s="48"/>
      <c r="P452" s="48"/>
      <c r="Q452" s="48"/>
    </row>
    <row r="453" spans="2:17" s="46" customFormat="1" ht="15" customHeight="1">
      <c r="B453" s="47"/>
      <c r="C453" s="48"/>
      <c r="D453" s="48"/>
      <c r="E453" s="48"/>
      <c r="F453" s="48"/>
      <c r="G453" s="48"/>
      <c r="H453" s="48"/>
      <c r="I453" s="48"/>
      <c r="J453" s="48"/>
      <c r="K453" s="48"/>
      <c r="L453" s="48"/>
      <c r="M453" s="48"/>
      <c r="N453" s="48"/>
      <c r="O453" s="48"/>
      <c r="P453" s="48"/>
      <c r="Q453" s="48"/>
    </row>
    <row r="454" spans="2:17" s="46" customFormat="1" ht="15" customHeight="1">
      <c r="B454" s="47"/>
      <c r="C454" s="48"/>
      <c r="D454" s="48"/>
      <c r="E454" s="48"/>
      <c r="F454" s="48"/>
      <c r="G454" s="48"/>
      <c r="H454" s="48"/>
      <c r="I454" s="48"/>
      <c r="J454" s="48"/>
      <c r="K454" s="48"/>
      <c r="L454" s="48"/>
      <c r="M454" s="48"/>
      <c r="N454" s="48"/>
      <c r="O454" s="48"/>
      <c r="P454" s="48"/>
      <c r="Q454" s="48"/>
    </row>
    <row r="455" spans="2:17" s="46" customFormat="1" ht="15" customHeight="1">
      <c r="B455" s="47"/>
      <c r="C455" s="48"/>
      <c r="D455" s="48"/>
      <c r="E455" s="48"/>
      <c r="F455" s="48"/>
      <c r="G455" s="48"/>
      <c r="H455" s="48"/>
      <c r="I455" s="48"/>
      <c r="J455" s="48"/>
      <c r="K455" s="48"/>
      <c r="L455" s="48"/>
      <c r="M455" s="48"/>
      <c r="N455" s="48"/>
      <c r="O455" s="48"/>
      <c r="P455" s="48"/>
      <c r="Q455" s="48"/>
    </row>
    <row r="456" spans="2:17" s="46" customFormat="1" ht="15" customHeight="1">
      <c r="B456" s="47"/>
      <c r="C456" s="48"/>
      <c r="D456" s="48"/>
      <c r="E456" s="48"/>
      <c r="F456" s="48"/>
      <c r="G456" s="48"/>
      <c r="H456" s="48"/>
      <c r="I456" s="48"/>
      <c r="J456" s="48"/>
      <c r="K456" s="48"/>
      <c r="L456" s="48"/>
      <c r="M456" s="48"/>
      <c r="N456" s="48"/>
      <c r="O456" s="48"/>
      <c r="P456" s="48"/>
      <c r="Q456" s="48"/>
    </row>
    <row r="457" spans="2:17" s="46" customFormat="1" ht="15" customHeight="1">
      <c r="B457" s="47"/>
      <c r="C457" s="48"/>
      <c r="D457" s="48"/>
      <c r="E457" s="48"/>
      <c r="F457" s="48"/>
      <c r="G457" s="48"/>
      <c r="H457" s="48"/>
      <c r="I457" s="48"/>
      <c r="J457" s="48"/>
      <c r="K457" s="48"/>
      <c r="L457" s="48"/>
      <c r="M457" s="48"/>
      <c r="N457" s="48"/>
      <c r="O457" s="48"/>
      <c r="P457" s="48"/>
      <c r="Q457" s="48"/>
    </row>
    <row r="458" spans="2:17" s="46" customFormat="1" ht="15" customHeight="1">
      <c r="B458" s="47"/>
      <c r="C458" s="48"/>
      <c r="D458" s="48"/>
      <c r="E458" s="48"/>
      <c r="F458" s="48"/>
      <c r="G458" s="48"/>
      <c r="H458" s="48"/>
      <c r="I458" s="48"/>
      <c r="J458" s="48"/>
      <c r="K458" s="48"/>
      <c r="L458" s="48"/>
      <c r="M458" s="48"/>
      <c r="N458" s="48"/>
      <c r="O458" s="48"/>
      <c r="P458" s="48"/>
      <c r="Q458" s="48"/>
    </row>
    <row r="459" spans="2:17" s="46" customFormat="1" ht="15" customHeight="1">
      <c r="B459" s="47"/>
      <c r="C459" s="48"/>
      <c r="D459" s="48"/>
      <c r="E459" s="48"/>
      <c r="F459" s="48"/>
      <c r="G459" s="48"/>
      <c r="H459" s="48"/>
      <c r="I459" s="48"/>
      <c r="J459" s="48"/>
      <c r="K459" s="48"/>
      <c r="L459" s="48"/>
      <c r="M459" s="48"/>
      <c r="N459" s="48"/>
      <c r="O459" s="48"/>
      <c r="P459" s="48"/>
      <c r="Q459" s="48"/>
    </row>
    <row r="460" spans="2:17" s="46" customFormat="1" ht="15" customHeight="1">
      <c r="B460" s="47"/>
      <c r="C460" s="48"/>
      <c r="D460" s="48"/>
      <c r="E460" s="48"/>
      <c r="F460" s="48"/>
      <c r="G460" s="48"/>
      <c r="H460" s="48"/>
      <c r="I460" s="48"/>
      <c r="J460" s="48"/>
      <c r="K460" s="48"/>
      <c r="L460" s="48"/>
      <c r="M460" s="48"/>
      <c r="N460" s="48"/>
      <c r="O460" s="48"/>
      <c r="P460" s="48"/>
      <c r="Q460" s="48"/>
    </row>
    <row r="461" spans="2:17" s="46" customFormat="1" ht="15" customHeight="1">
      <c r="B461" s="47"/>
      <c r="C461" s="48"/>
      <c r="D461" s="48"/>
      <c r="E461" s="48"/>
      <c r="F461" s="48"/>
      <c r="G461" s="48"/>
      <c r="H461" s="48"/>
      <c r="I461" s="48"/>
      <c r="J461" s="48"/>
      <c r="K461" s="48"/>
      <c r="L461" s="48"/>
      <c r="M461" s="48"/>
      <c r="N461" s="48"/>
      <c r="O461" s="48"/>
      <c r="P461" s="48"/>
      <c r="Q461" s="48"/>
    </row>
    <row r="462" spans="2:17" s="46" customFormat="1" ht="15" customHeight="1">
      <c r="B462" s="47"/>
      <c r="C462" s="48"/>
      <c r="D462" s="48"/>
      <c r="E462" s="48"/>
      <c r="F462" s="48"/>
      <c r="G462" s="48"/>
      <c r="H462" s="48"/>
      <c r="I462" s="48"/>
      <c r="J462" s="48"/>
      <c r="K462" s="48"/>
      <c r="L462" s="48"/>
      <c r="M462" s="48"/>
      <c r="N462" s="48"/>
      <c r="O462" s="48"/>
      <c r="P462" s="48"/>
      <c r="Q462" s="48"/>
    </row>
    <row r="463" spans="2:17" s="46" customFormat="1" ht="15" customHeight="1">
      <c r="B463" s="47"/>
      <c r="C463" s="48"/>
      <c r="D463" s="48"/>
      <c r="E463" s="48"/>
      <c r="F463" s="48"/>
      <c r="G463" s="48"/>
      <c r="H463" s="48"/>
      <c r="I463" s="48"/>
      <c r="J463" s="48"/>
      <c r="K463" s="48"/>
      <c r="L463" s="48"/>
      <c r="M463" s="48"/>
      <c r="N463" s="48"/>
      <c r="O463" s="48"/>
      <c r="P463" s="48"/>
      <c r="Q463" s="48"/>
    </row>
    <row r="464" spans="2:17" s="46" customFormat="1" ht="15" customHeight="1">
      <c r="B464" s="47"/>
      <c r="C464" s="48"/>
      <c r="D464" s="48"/>
      <c r="E464" s="48"/>
      <c r="F464" s="48"/>
      <c r="G464" s="48"/>
      <c r="H464" s="48"/>
      <c r="I464" s="48"/>
      <c r="J464" s="48"/>
      <c r="K464" s="48"/>
      <c r="L464" s="48"/>
      <c r="M464" s="48"/>
      <c r="N464" s="48"/>
      <c r="O464" s="48"/>
      <c r="P464" s="48"/>
      <c r="Q464" s="48"/>
    </row>
    <row r="465" spans="2:17" s="46" customFormat="1" ht="15" customHeight="1">
      <c r="B465" s="47"/>
      <c r="C465" s="48"/>
      <c r="D465" s="48"/>
      <c r="E465" s="48"/>
      <c r="F465" s="48"/>
      <c r="G465" s="48"/>
      <c r="H465" s="48"/>
      <c r="I465" s="48"/>
      <c r="J465" s="48"/>
      <c r="K465" s="48"/>
      <c r="L465" s="48"/>
      <c r="M465" s="48"/>
      <c r="N465" s="48"/>
      <c r="O465" s="48"/>
      <c r="P465" s="48"/>
      <c r="Q465" s="48"/>
    </row>
    <row r="466" spans="2:17" s="46" customFormat="1" ht="15" customHeight="1">
      <c r="B466" s="47"/>
      <c r="C466" s="48"/>
      <c r="D466" s="48"/>
      <c r="E466" s="48"/>
      <c r="F466" s="48"/>
      <c r="G466" s="48"/>
      <c r="H466" s="48"/>
      <c r="I466" s="48"/>
      <c r="J466" s="48"/>
      <c r="K466" s="48"/>
      <c r="L466" s="48"/>
      <c r="M466" s="48"/>
      <c r="N466" s="48"/>
      <c r="O466" s="48"/>
      <c r="P466" s="48"/>
      <c r="Q466" s="48"/>
    </row>
    <row r="467" spans="2:17" s="46" customFormat="1" ht="15" customHeight="1">
      <c r="B467" s="47"/>
      <c r="C467" s="48"/>
      <c r="D467" s="48"/>
      <c r="E467" s="48"/>
      <c r="F467" s="48"/>
      <c r="G467" s="48"/>
      <c r="H467" s="48"/>
      <c r="I467" s="48"/>
      <c r="J467" s="48"/>
      <c r="K467" s="48"/>
      <c r="L467" s="48"/>
      <c r="M467" s="48"/>
      <c r="N467" s="48"/>
      <c r="O467" s="48"/>
      <c r="P467" s="48"/>
      <c r="Q467" s="48"/>
    </row>
    <row r="468" spans="2:17" s="46" customFormat="1" ht="15" customHeight="1">
      <c r="B468" s="47"/>
      <c r="C468" s="48"/>
      <c r="D468" s="48"/>
      <c r="E468" s="48"/>
      <c r="F468" s="48"/>
      <c r="G468" s="48"/>
      <c r="H468" s="48"/>
      <c r="I468" s="48"/>
      <c r="J468" s="48"/>
      <c r="K468" s="48"/>
      <c r="L468" s="48"/>
      <c r="M468" s="48"/>
      <c r="N468" s="48"/>
      <c r="O468" s="48"/>
      <c r="P468" s="48"/>
      <c r="Q468" s="48"/>
    </row>
    <row r="469" spans="2:17" s="46" customFormat="1" ht="15" customHeight="1">
      <c r="B469" s="47"/>
      <c r="C469" s="48"/>
      <c r="D469" s="48"/>
      <c r="E469" s="48"/>
      <c r="F469" s="48"/>
      <c r="G469" s="48"/>
      <c r="H469" s="48"/>
      <c r="I469" s="48"/>
      <c r="J469" s="48"/>
      <c r="K469" s="48"/>
      <c r="L469" s="48"/>
      <c r="M469" s="48"/>
      <c r="N469" s="48"/>
      <c r="O469" s="48"/>
      <c r="P469" s="48"/>
      <c r="Q469" s="48"/>
    </row>
    <row r="470" spans="2:17" s="46" customFormat="1" ht="15" customHeight="1">
      <c r="B470" s="47"/>
      <c r="C470" s="48"/>
      <c r="D470" s="48"/>
      <c r="E470" s="48"/>
      <c r="F470" s="48"/>
      <c r="G470" s="48"/>
      <c r="H470" s="48"/>
      <c r="I470" s="48"/>
      <c r="J470" s="48"/>
      <c r="K470" s="48"/>
      <c r="L470" s="48"/>
      <c r="M470" s="48"/>
      <c r="N470" s="48"/>
      <c r="O470" s="48"/>
      <c r="P470" s="48"/>
      <c r="Q470" s="48"/>
    </row>
    <row r="471" spans="2:17" s="46" customFormat="1" ht="15" customHeight="1">
      <c r="B471" s="47"/>
      <c r="C471" s="48"/>
      <c r="D471" s="48"/>
      <c r="E471" s="48"/>
      <c r="F471" s="48"/>
      <c r="G471" s="48"/>
      <c r="H471" s="48"/>
      <c r="I471" s="48"/>
      <c r="J471" s="48"/>
      <c r="K471" s="48"/>
      <c r="L471" s="48"/>
      <c r="M471" s="48"/>
      <c r="N471" s="48"/>
      <c r="O471" s="48"/>
      <c r="P471" s="48"/>
      <c r="Q471" s="48"/>
    </row>
    <row r="472" spans="2:17" s="46" customFormat="1" ht="15" customHeight="1">
      <c r="B472" s="47"/>
      <c r="C472" s="48"/>
      <c r="D472" s="48"/>
      <c r="E472" s="48"/>
      <c r="F472" s="48"/>
      <c r="G472" s="48"/>
      <c r="H472" s="48"/>
      <c r="I472" s="48"/>
      <c r="J472" s="48"/>
      <c r="K472" s="48"/>
      <c r="L472" s="48"/>
      <c r="M472" s="48"/>
      <c r="N472" s="48"/>
      <c r="O472" s="48"/>
      <c r="P472" s="48"/>
      <c r="Q472" s="48"/>
    </row>
    <row r="473" spans="2:17" s="46" customFormat="1" ht="15" customHeight="1">
      <c r="B473" s="47"/>
      <c r="C473" s="48"/>
      <c r="D473" s="48"/>
      <c r="E473" s="48"/>
      <c r="F473" s="48"/>
      <c r="G473" s="48"/>
      <c r="H473" s="48"/>
      <c r="I473" s="48"/>
      <c r="J473" s="48"/>
      <c r="K473" s="48"/>
      <c r="L473" s="48"/>
      <c r="M473" s="48"/>
      <c r="N473" s="48"/>
      <c r="O473" s="48"/>
      <c r="P473" s="48"/>
      <c r="Q473" s="48"/>
    </row>
    <row r="474" spans="2:17" s="46" customFormat="1" ht="15" customHeight="1">
      <c r="B474" s="47"/>
      <c r="C474" s="48"/>
      <c r="D474" s="48"/>
      <c r="E474" s="48"/>
      <c r="F474" s="48"/>
      <c r="G474" s="48"/>
      <c r="H474" s="48"/>
      <c r="I474" s="48"/>
      <c r="J474" s="48"/>
      <c r="K474" s="48"/>
      <c r="L474" s="48"/>
      <c r="M474" s="48"/>
      <c r="N474" s="48"/>
      <c r="O474" s="48"/>
      <c r="P474" s="48"/>
      <c r="Q474" s="48"/>
    </row>
    <row r="475" spans="2:17" s="46" customFormat="1" ht="15" customHeight="1">
      <c r="B475" s="47"/>
      <c r="C475" s="48"/>
      <c r="D475" s="48"/>
      <c r="E475" s="48"/>
      <c r="F475" s="48"/>
      <c r="G475" s="48"/>
      <c r="H475" s="48"/>
      <c r="I475" s="48"/>
      <c r="J475" s="48"/>
      <c r="K475" s="48"/>
      <c r="L475" s="48"/>
      <c r="M475" s="48"/>
      <c r="N475" s="48"/>
      <c r="O475" s="48"/>
      <c r="P475" s="48"/>
      <c r="Q475" s="48"/>
    </row>
    <row r="476" spans="2:17" s="46" customFormat="1" ht="15" customHeight="1">
      <c r="B476" s="47"/>
      <c r="C476" s="48"/>
      <c r="D476" s="48"/>
      <c r="E476" s="48"/>
      <c r="F476" s="48"/>
      <c r="G476" s="48"/>
      <c r="H476" s="48"/>
      <c r="I476" s="48"/>
      <c r="J476" s="48"/>
      <c r="K476" s="48"/>
      <c r="L476" s="48"/>
      <c r="M476" s="48"/>
      <c r="N476" s="48"/>
      <c r="O476" s="48"/>
      <c r="P476" s="48"/>
      <c r="Q476" s="48"/>
    </row>
    <row r="477" spans="2:17" s="46" customFormat="1" ht="15" customHeight="1">
      <c r="B477" s="47"/>
      <c r="C477" s="48"/>
      <c r="D477" s="48"/>
      <c r="E477" s="48"/>
      <c r="F477" s="48"/>
      <c r="G477" s="48"/>
      <c r="H477" s="48"/>
      <c r="I477" s="48"/>
      <c r="J477" s="48"/>
      <c r="K477" s="48"/>
      <c r="L477" s="48"/>
      <c r="M477" s="48"/>
      <c r="N477" s="48"/>
      <c r="O477" s="48"/>
      <c r="P477" s="48"/>
      <c r="Q477" s="48"/>
    </row>
    <row r="478" spans="2:17" s="46" customFormat="1" ht="15" customHeight="1">
      <c r="B478" s="47"/>
      <c r="C478" s="48"/>
      <c r="D478" s="48"/>
      <c r="E478" s="48"/>
      <c r="F478" s="48"/>
      <c r="G478" s="48"/>
      <c r="H478" s="48"/>
      <c r="I478" s="48"/>
      <c r="J478" s="48"/>
      <c r="K478" s="48"/>
      <c r="L478" s="48"/>
      <c r="M478" s="48"/>
      <c r="N478" s="48"/>
      <c r="O478" s="48"/>
      <c r="P478" s="48"/>
      <c r="Q478" s="48"/>
    </row>
    <row r="479" spans="2:17" s="46" customFormat="1" ht="15" customHeight="1">
      <c r="B479" s="47"/>
      <c r="C479" s="48"/>
      <c r="D479" s="48"/>
      <c r="E479" s="48"/>
      <c r="F479" s="48"/>
      <c r="G479" s="48"/>
      <c r="H479" s="48"/>
      <c r="I479" s="48"/>
      <c r="J479" s="48"/>
      <c r="K479" s="48"/>
      <c r="L479" s="48"/>
      <c r="M479" s="48"/>
      <c r="N479" s="48"/>
      <c r="O479" s="48"/>
      <c r="P479" s="48"/>
      <c r="Q479" s="48"/>
    </row>
    <row r="480" spans="2:17" s="46" customFormat="1" ht="15" customHeight="1">
      <c r="B480" s="47"/>
      <c r="C480" s="48"/>
      <c r="D480" s="48"/>
      <c r="E480" s="48"/>
      <c r="F480" s="48"/>
      <c r="G480" s="48"/>
      <c r="H480" s="48"/>
      <c r="I480" s="48"/>
      <c r="J480" s="48"/>
      <c r="K480" s="48"/>
      <c r="L480" s="48"/>
      <c r="M480" s="48"/>
      <c r="N480" s="48"/>
      <c r="O480" s="48"/>
      <c r="P480" s="48"/>
      <c r="Q480" s="48"/>
    </row>
    <row r="481" spans="2:17" s="46" customFormat="1" ht="15" customHeight="1">
      <c r="B481" s="47"/>
      <c r="C481" s="48"/>
      <c r="D481" s="48"/>
      <c r="E481" s="48"/>
      <c r="F481" s="48"/>
      <c r="G481" s="48"/>
      <c r="H481" s="48"/>
      <c r="I481" s="48"/>
      <c r="J481" s="48"/>
      <c r="K481" s="48"/>
      <c r="L481" s="48"/>
      <c r="M481" s="48"/>
      <c r="N481" s="48"/>
      <c r="O481" s="48"/>
      <c r="P481" s="48"/>
      <c r="Q481" s="48"/>
    </row>
    <row r="482" spans="2:17" s="46" customFormat="1" ht="15" customHeight="1">
      <c r="B482" s="47"/>
      <c r="C482" s="48"/>
      <c r="D482" s="48"/>
      <c r="E482" s="48"/>
      <c r="F482" s="48"/>
      <c r="G482" s="48"/>
      <c r="H482" s="48"/>
      <c r="I482" s="48"/>
      <c r="J482" s="48"/>
      <c r="K482" s="48"/>
      <c r="L482" s="48"/>
      <c r="M482" s="48"/>
      <c r="N482" s="48"/>
      <c r="O482" s="48"/>
      <c r="P482" s="48"/>
      <c r="Q482" s="48"/>
    </row>
    <row r="483" spans="2:17" s="46" customFormat="1" ht="15" customHeight="1">
      <c r="B483" s="47"/>
      <c r="C483" s="48"/>
      <c r="D483" s="48"/>
      <c r="E483" s="48"/>
      <c r="F483" s="48"/>
      <c r="G483" s="48"/>
      <c r="H483" s="48"/>
      <c r="I483" s="48"/>
      <c r="J483" s="48"/>
      <c r="K483" s="48"/>
      <c r="L483" s="48"/>
      <c r="M483" s="48"/>
      <c r="N483" s="48"/>
      <c r="O483" s="48"/>
      <c r="P483" s="48"/>
      <c r="Q483" s="48"/>
    </row>
    <row r="484" spans="2:17" s="46" customFormat="1" ht="15" customHeight="1">
      <c r="B484" s="47"/>
      <c r="C484" s="48"/>
      <c r="D484" s="48"/>
      <c r="E484" s="48"/>
      <c r="F484" s="48"/>
      <c r="G484" s="48"/>
      <c r="H484" s="48"/>
      <c r="I484" s="48"/>
      <c r="J484" s="48"/>
      <c r="K484" s="48"/>
      <c r="L484" s="48"/>
      <c r="M484" s="48"/>
      <c r="N484" s="48"/>
      <c r="O484" s="48"/>
      <c r="P484" s="48"/>
      <c r="Q484" s="48"/>
    </row>
    <row r="485" spans="2:17" s="46" customFormat="1" ht="15" customHeight="1">
      <c r="B485" s="47"/>
      <c r="C485" s="48"/>
      <c r="D485" s="48"/>
      <c r="E485" s="48"/>
      <c r="F485" s="48"/>
      <c r="G485" s="48"/>
      <c r="H485" s="48"/>
      <c r="I485" s="48"/>
      <c r="J485" s="48"/>
      <c r="K485" s="48"/>
      <c r="L485" s="48"/>
      <c r="M485" s="48"/>
      <c r="N485" s="48"/>
      <c r="O485" s="48"/>
      <c r="P485" s="48"/>
      <c r="Q485" s="48"/>
    </row>
    <row r="486" spans="2:17" s="46" customFormat="1" ht="15" customHeight="1">
      <c r="B486" s="47"/>
      <c r="C486" s="48"/>
      <c r="D486" s="48"/>
      <c r="E486" s="48"/>
      <c r="F486" s="48"/>
      <c r="G486" s="48"/>
      <c r="H486" s="48"/>
      <c r="I486" s="48"/>
      <c r="J486" s="48"/>
      <c r="K486" s="48"/>
      <c r="L486" s="48"/>
      <c r="M486" s="48"/>
      <c r="N486" s="48"/>
      <c r="O486" s="48"/>
      <c r="P486" s="48"/>
      <c r="Q486" s="48"/>
    </row>
    <row r="487" spans="2:17" s="46" customFormat="1" ht="15" customHeight="1">
      <c r="B487" s="47"/>
      <c r="C487" s="48"/>
      <c r="D487" s="48"/>
      <c r="E487" s="48"/>
      <c r="F487" s="48"/>
      <c r="G487" s="48"/>
      <c r="H487" s="48"/>
      <c r="I487" s="48"/>
      <c r="J487" s="48"/>
      <c r="K487" s="48"/>
      <c r="L487" s="48"/>
      <c r="M487" s="48"/>
      <c r="N487" s="48"/>
      <c r="O487" s="48"/>
      <c r="P487" s="48"/>
      <c r="Q487" s="48"/>
    </row>
    <row r="488" spans="2:17" s="46" customFormat="1" ht="15" customHeight="1">
      <c r="B488" s="47"/>
      <c r="C488" s="48"/>
      <c r="D488" s="48"/>
      <c r="E488" s="48"/>
      <c r="F488" s="48"/>
      <c r="G488" s="48"/>
      <c r="H488" s="48"/>
      <c r="I488" s="48"/>
      <c r="J488" s="48"/>
      <c r="K488" s="48"/>
      <c r="L488" s="48"/>
      <c r="M488" s="48"/>
      <c r="N488" s="48"/>
      <c r="O488" s="48"/>
      <c r="P488" s="48"/>
      <c r="Q488" s="48"/>
    </row>
    <row r="489" spans="2:17" s="46" customFormat="1" ht="15" customHeight="1">
      <c r="B489" s="47"/>
      <c r="C489" s="48"/>
      <c r="D489" s="48"/>
      <c r="E489" s="48"/>
      <c r="F489" s="48"/>
      <c r="G489" s="48"/>
      <c r="H489" s="48"/>
      <c r="I489" s="48"/>
      <c r="J489" s="48"/>
      <c r="K489" s="48"/>
      <c r="L489" s="48"/>
      <c r="M489" s="48"/>
      <c r="N489" s="48"/>
      <c r="O489" s="48"/>
      <c r="P489" s="48"/>
      <c r="Q489" s="48"/>
    </row>
    <row r="490" spans="2:17" s="46" customFormat="1" ht="15" customHeight="1">
      <c r="B490" s="47"/>
      <c r="C490" s="48"/>
      <c r="D490" s="48"/>
      <c r="E490" s="48"/>
      <c r="F490" s="48"/>
      <c r="G490" s="48"/>
      <c r="H490" s="48"/>
      <c r="I490" s="48"/>
      <c r="J490" s="48"/>
      <c r="K490" s="48"/>
      <c r="L490" s="48"/>
      <c r="M490" s="48"/>
      <c r="N490" s="48"/>
      <c r="O490" s="48"/>
      <c r="P490" s="48"/>
      <c r="Q490" s="48"/>
    </row>
    <row r="491" spans="2:17" s="46" customFormat="1" ht="15" customHeight="1">
      <c r="B491" s="47"/>
      <c r="C491" s="48"/>
      <c r="D491" s="48"/>
      <c r="E491" s="48"/>
      <c r="F491" s="48"/>
      <c r="G491" s="48"/>
      <c r="H491" s="48"/>
      <c r="I491" s="48"/>
      <c r="J491" s="48"/>
      <c r="K491" s="48"/>
      <c r="L491" s="48"/>
      <c r="M491" s="48"/>
      <c r="N491" s="48"/>
      <c r="O491" s="48"/>
      <c r="P491" s="48"/>
      <c r="Q491" s="48"/>
    </row>
    <row r="492" spans="2:17" s="46" customFormat="1" ht="15" customHeight="1">
      <c r="B492" s="47"/>
      <c r="C492" s="48"/>
      <c r="D492" s="48"/>
      <c r="E492" s="48"/>
      <c r="F492" s="48"/>
      <c r="G492" s="48"/>
      <c r="H492" s="48"/>
      <c r="I492" s="48"/>
      <c r="J492" s="48"/>
      <c r="K492" s="48"/>
      <c r="L492" s="48"/>
      <c r="M492" s="48"/>
      <c r="N492" s="48"/>
      <c r="O492" s="48"/>
      <c r="P492" s="48"/>
      <c r="Q492" s="48"/>
    </row>
    <row r="493" spans="2:17" s="46" customFormat="1" ht="15" customHeight="1">
      <c r="B493" s="47"/>
      <c r="C493" s="48"/>
      <c r="D493" s="48"/>
      <c r="E493" s="48"/>
      <c r="F493" s="48"/>
      <c r="G493" s="48"/>
      <c r="H493" s="48"/>
      <c r="I493" s="48"/>
      <c r="J493" s="48"/>
      <c r="K493" s="48"/>
      <c r="L493" s="48"/>
      <c r="M493" s="48"/>
      <c r="N493" s="48"/>
      <c r="O493" s="48"/>
      <c r="P493" s="48"/>
      <c r="Q493" s="48"/>
    </row>
    <row r="494" spans="2:17" s="46" customFormat="1" ht="15" customHeight="1">
      <c r="B494" s="47"/>
      <c r="C494" s="48"/>
      <c r="D494" s="48"/>
      <c r="E494" s="48"/>
      <c r="F494" s="48"/>
      <c r="G494" s="48"/>
      <c r="H494" s="48"/>
      <c r="I494" s="48"/>
      <c r="J494" s="48"/>
      <c r="K494" s="48"/>
      <c r="L494" s="48"/>
      <c r="M494" s="48"/>
      <c r="N494" s="48"/>
      <c r="O494" s="48"/>
      <c r="P494" s="48"/>
      <c r="Q494" s="48"/>
    </row>
    <row r="495" spans="2:17" s="46" customFormat="1" ht="15" customHeight="1">
      <c r="B495" s="47"/>
      <c r="C495" s="48"/>
      <c r="D495" s="48"/>
      <c r="E495" s="48"/>
      <c r="F495" s="48"/>
      <c r="G495" s="48"/>
      <c r="H495" s="48"/>
      <c r="I495" s="48"/>
      <c r="J495" s="48"/>
      <c r="K495" s="48"/>
      <c r="L495" s="48"/>
      <c r="M495" s="48"/>
      <c r="N495" s="48"/>
      <c r="O495" s="48"/>
      <c r="P495" s="48"/>
      <c r="Q495" s="48"/>
    </row>
    <row r="496" spans="2:17" s="46" customFormat="1" ht="15" customHeight="1">
      <c r="B496" s="47"/>
      <c r="C496" s="48"/>
      <c r="D496" s="48"/>
      <c r="E496" s="48"/>
      <c r="F496" s="48"/>
      <c r="G496" s="48"/>
      <c r="H496" s="48"/>
      <c r="I496" s="48"/>
      <c r="J496" s="48"/>
      <c r="K496" s="48"/>
      <c r="L496" s="48"/>
      <c r="M496" s="48"/>
      <c r="N496" s="48"/>
      <c r="O496" s="48"/>
      <c r="P496" s="48"/>
      <c r="Q496" s="48"/>
    </row>
    <row r="497" spans="2:17" s="46" customFormat="1" ht="15" customHeight="1">
      <c r="B497" s="47"/>
      <c r="C497" s="48"/>
      <c r="D497" s="48"/>
      <c r="E497" s="48"/>
      <c r="F497" s="48"/>
      <c r="G497" s="48"/>
      <c r="H497" s="48"/>
      <c r="I497" s="48"/>
      <c r="J497" s="48"/>
      <c r="K497" s="48"/>
      <c r="L497" s="48"/>
      <c r="M497" s="48"/>
      <c r="N497" s="48"/>
      <c r="O497" s="48"/>
      <c r="P497" s="48"/>
      <c r="Q497" s="48"/>
    </row>
    <row r="498" spans="2:17" s="46" customFormat="1" ht="15" customHeight="1">
      <c r="B498" s="47"/>
      <c r="C498" s="48"/>
      <c r="D498" s="48"/>
      <c r="E498" s="48"/>
      <c r="F498" s="48"/>
      <c r="G498" s="48"/>
      <c r="H498" s="48"/>
      <c r="I498" s="48"/>
      <c r="J498" s="48"/>
      <c r="K498" s="48"/>
      <c r="L498" s="48"/>
      <c r="M498" s="48"/>
      <c r="N498" s="48"/>
      <c r="O498" s="48"/>
      <c r="P498" s="48"/>
      <c r="Q498" s="48"/>
    </row>
    <row r="499" spans="2:17" s="46" customFormat="1" ht="15" customHeight="1">
      <c r="B499" s="47"/>
      <c r="C499" s="48"/>
      <c r="D499" s="48"/>
      <c r="E499" s="48"/>
      <c r="F499" s="48"/>
      <c r="G499" s="48"/>
      <c r="H499" s="48"/>
      <c r="I499" s="48"/>
      <c r="J499" s="48"/>
      <c r="K499" s="48"/>
      <c r="L499" s="48"/>
      <c r="M499" s="48"/>
      <c r="N499" s="48"/>
      <c r="O499" s="48"/>
      <c r="P499" s="48"/>
      <c r="Q499" s="48"/>
    </row>
    <row r="500" spans="2:17" s="46" customFormat="1" ht="15" customHeight="1">
      <c r="B500" s="47"/>
      <c r="C500" s="48"/>
      <c r="D500" s="48"/>
      <c r="E500" s="48"/>
      <c r="F500" s="48"/>
      <c r="G500" s="48"/>
      <c r="H500" s="48"/>
      <c r="I500" s="48"/>
      <c r="J500" s="48"/>
      <c r="K500" s="48"/>
      <c r="L500" s="48"/>
      <c r="M500" s="48"/>
      <c r="N500" s="48"/>
      <c r="O500" s="48"/>
      <c r="P500" s="48"/>
      <c r="Q500" s="48"/>
    </row>
    <row r="501" spans="2:17" s="46" customFormat="1" ht="15" customHeight="1">
      <c r="B501" s="47"/>
      <c r="C501" s="48"/>
      <c r="D501" s="48"/>
      <c r="E501" s="48"/>
      <c r="F501" s="48"/>
      <c r="G501" s="48"/>
      <c r="H501" s="48"/>
      <c r="I501" s="48"/>
      <c r="J501" s="48"/>
      <c r="K501" s="48"/>
      <c r="L501" s="48"/>
      <c r="M501" s="48"/>
      <c r="N501" s="48"/>
      <c r="O501" s="48"/>
      <c r="P501" s="48"/>
      <c r="Q501" s="48"/>
    </row>
    <row r="502" spans="2:17" s="46" customFormat="1" ht="15" customHeight="1">
      <c r="B502" s="47"/>
      <c r="C502" s="48"/>
      <c r="D502" s="48"/>
      <c r="E502" s="48"/>
      <c r="F502" s="48"/>
      <c r="G502" s="48"/>
      <c r="H502" s="48"/>
      <c r="I502" s="48"/>
      <c r="J502" s="48"/>
      <c r="K502" s="48"/>
      <c r="L502" s="48"/>
      <c r="M502" s="48"/>
      <c r="N502" s="48"/>
      <c r="O502" s="48"/>
      <c r="P502" s="48"/>
      <c r="Q502" s="48"/>
    </row>
    <row r="503" spans="2:17" s="46" customFormat="1" ht="15" customHeight="1">
      <c r="B503" s="47"/>
      <c r="C503" s="48"/>
      <c r="D503" s="48"/>
      <c r="E503" s="48"/>
      <c r="F503" s="48"/>
      <c r="G503" s="48"/>
      <c r="H503" s="48"/>
      <c r="I503" s="48"/>
      <c r="J503" s="48"/>
      <c r="K503" s="48"/>
      <c r="L503" s="48"/>
      <c r="M503" s="48"/>
      <c r="N503" s="48"/>
      <c r="O503" s="48"/>
      <c r="P503" s="48"/>
      <c r="Q503" s="48"/>
    </row>
    <row r="504" spans="2:17" s="46" customFormat="1" ht="15" customHeight="1">
      <c r="B504" s="47"/>
      <c r="C504" s="48"/>
      <c r="D504" s="48"/>
      <c r="E504" s="48"/>
      <c r="F504" s="48"/>
      <c r="G504" s="48"/>
      <c r="H504" s="48"/>
      <c r="I504" s="48"/>
      <c r="J504" s="48"/>
      <c r="K504" s="48"/>
      <c r="L504" s="48"/>
      <c r="M504" s="48"/>
      <c r="N504" s="48"/>
      <c r="O504" s="48"/>
      <c r="P504" s="48"/>
      <c r="Q504" s="48"/>
    </row>
    <row r="505" spans="2:17" s="46" customFormat="1" ht="15" customHeight="1">
      <c r="B505" s="47"/>
      <c r="C505" s="48"/>
      <c r="D505" s="48"/>
      <c r="E505" s="48"/>
      <c r="F505" s="48"/>
      <c r="G505" s="48"/>
      <c r="H505" s="48"/>
      <c r="I505" s="48"/>
      <c r="J505" s="48"/>
      <c r="K505" s="48"/>
      <c r="L505" s="48"/>
      <c r="M505" s="48"/>
      <c r="N505" s="48"/>
      <c r="O505" s="48"/>
      <c r="P505" s="48"/>
      <c r="Q505" s="48"/>
    </row>
    <row r="506" spans="2:17" s="46" customFormat="1" ht="15" customHeight="1">
      <c r="B506" s="47"/>
      <c r="C506" s="48"/>
      <c r="D506" s="48"/>
      <c r="E506" s="48"/>
      <c r="F506" s="48"/>
      <c r="G506" s="48"/>
      <c r="H506" s="48"/>
      <c r="I506" s="48"/>
      <c r="J506" s="48"/>
      <c r="K506" s="48"/>
      <c r="L506" s="48"/>
      <c r="M506" s="48"/>
      <c r="N506" s="48"/>
      <c r="O506" s="48"/>
      <c r="P506" s="48"/>
      <c r="Q506" s="48"/>
    </row>
    <row r="507" spans="2:17" s="46" customFormat="1" ht="15" customHeight="1">
      <c r="B507" s="47"/>
      <c r="C507" s="48"/>
      <c r="D507" s="48"/>
      <c r="E507" s="48"/>
      <c r="F507" s="48"/>
      <c r="G507" s="48"/>
      <c r="H507" s="48"/>
      <c r="I507" s="48"/>
      <c r="J507" s="48"/>
      <c r="K507" s="48"/>
      <c r="L507" s="48"/>
      <c r="M507" s="48"/>
      <c r="N507" s="48"/>
      <c r="O507" s="48"/>
      <c r="P507" s="48"/>
      <c r="Q507" s="48"/>
    </row>
    <row r="508" spans="2:17" s="46" customFormat="1" ht="15" customHeight="1">
      <c r="B508" s="47"/>
      <c r="C508" s="48"/>
      <c r="D508" s="48"/>
      <c r="E508" s="48"/>
      <c r="F508" s="48"/>
      <c r="G508" s="48"/>
      <c r="H508" s="48"/>
      <c r="I508" s="48"/>
      <c r="J508" s="48"/>
      <c r="K508" s="48"/>
      <c r="L508" s="48"/>
      <c r="M508" s="48"/>
      <c r="N508" s="48"/>
      <c r="O508" s="48"/>
      <c r="P508" s="48"/>
      <c r="Q508" s="48"/>
    </row>
    <row r="509" spans="2:17" s="46" customFormat="1" ht="15" customHeight="1">
      <c r="B509" s="47"/>
      <c r="C509" s="48"/>
      <c r="D509" s="48"/>
      <c r="E509" s="48"/>
      <c r="F509" s="48"/>
      <c r="G509" s="48"/>
      <c r="H509" s="48"/>
      <c r="I509" s="48"/>
      <c r="J509" s="48"/>
      <c r="K509" s="48"/>
      <c r="L509" s="48"/>
      <c r="M509" s="48"/>
      <c r="N509" s="48"/>
      <c r="O509" s="48"/>
      <c r="P509" s="48"/>
      <c r="Q509" s="48"/>
    </row>
    <row r="510" spans="2:17" s="46" customFormat="1" ht="15" customHeight="1">
      <c r="B510" s="47"/>
      <c r="C510" s="48"/>
      <c r="D510" s="48"/>
      <c r="E510" s="48"/>
      <c r="F510" s="48"/>
      <c r="G510" s="48"/>
      <c r="H510" s="48"/>
      <c r="I510" s="48"/>
      <c r="J510" s="48"/>
      <c r="K510" s="48"/>
      <c r="L510" s="48"/>
      <c r="M510" s="48"/>
      <c r="N510" s="48"/>
      <c r="O510" s="48"/>
      <c r="P510" s="48"/>
      <c r="Q510" s="48"/>
    </row>
    <row r="511" spans="2:17" s="46" customFormat="1" ht="15" customHeight="1">
      <c r="B511" s="47"/>
      <c r="C511" s="48"/>
      <c r="D511" s="48"/>
      <c r="E511" s="48"/>
      <c r="F511" s="48"/>
      <c r="G511" s="48"/>
      <c r="H511" s="48"/>
      <c r="I511" s="48"/>
      <c r="J511" s="48"/>
      <c r="K511" s="48"/>
      <c r="L511" s="48"/>
      <c r="M511" s="48"/>
      <c r="N511" s="48"/>
      <c r="O511" s="48"/>
      <c r="P511" s="48"/>
      <c r="Q511" s="48"/>
    </row>
    <row r="512" spans="2:17" s="46" customFormat="1" ht="15" customHeight="1">
      <c r="B512" s="47"/>
      <c r="C512" s="48"/>
      <c r="D512" s="48"/>
      <c r="E512" s="48"/>
      <c r="F512" s="48"/>
      <c r="G512" s="48"/>
      <c r="H512" s="48"/>
      <c r="I512" s="48"/>
      <c r="J512" s="48"/>
      <c r="K512" s="48"/>
      <c r="L512" s="48"/>
      <c r="M512" s="48"/>
      <c r="N512" s="48"/>
      <c r="O512" s="48"/>
      <c r="P512" s="48"/>
      <c r="Q512" s="48"/>
    </row>
    <row r="513" spans="2:17" s="46" customFormat="1" ht="15" customHeight="1">
      <c r="B513" s="47"/>
      <c r="C513" s="48"/>
      <c r="D513" s="48"/>
      <c r="E513" s="48"/>
      <c r="F513" s="48"/>
      <c r="G513" s="48"/>
      <c r="H513" s="48"/>
      <c r="I513" s="48"/>
      <c r="J513" s="48"/>
      <c r="K513" s="48"/>
      <c r="L513" s="48"/>
      <c r="M513" s="48"/>
      <c r="N513" s="48"/>
      <c r="O513" s="48"/>
      <c r="P513" s="48"/>
      <c r="Q513" s="48"/>
    </row>
    <row r="514" spans="2:17" s="46" customFormat="1" ht="15" customHeight="1">
      <c r="B514" s="47"/>
      <c r="C514" s="48"/>
      <c r="D514" s="48"/>
      <c r="E514" s="48"/>
      <c r="F514" s="48"/>
      <c r="G514" s="48"/>
      <c r="H514" s="48"/>
      <c r="I514" s="48"/>
      <c r="J514" s="48"/>
      <c r="K514" s="48"/>
      <c r="L514" s="48"/>
      <c r="M514" s="48"/>
      <c r="N514" s="48"/>
      <c r="O514" s="48"/>
      <c r="P514" s="48"/>
      <c r="Q514" s="48"/>
    </row>
    <row r="515" spans="2:17" s="46" customFormat="1" ht="15" customHeight="1">
      <c r="B515" s="47"/>
      <c r="C515" s="48"/>
      <c r="D515" s="48"/>
      <c r="E515" s="48"/>
      <c r="F515" s="48"/>
      <c r="G515" s="48"/>
      <c r="H515" s="48"/>
      <c r="I515" s="48"/>
      <c r="J515" s="48"/>
      <c r="K515" s="48"/>
      <c r="L515" s="48"/>
      <c r="M515" s="48"/>
      <c r="N515" s="48"/>
      <c r="O515" s="48"/>
      <c r="P515" s="48"/>
      <c r="Q515" s="48"/>
    </row>
    <row r="516" spans="2:17" s="46" customFormat="1" ht="15" customHeight="1">
      <c r="B516" s="47"/>
      <c r="C516" s="48"/>
      <c r="D516" s="48"/>
      <c r="E516" s="48"/>
      <c r="F516" s="48"/>
      <c r="G516" s="48"/>
      <c r="H516" s="48"/>
      <c r="I516" s="48"/>
      <c r="J516" s="48"/>
      <c r="K516" s="48"/>
      <c r="L516" s="48"/>
      <c r="M516" s="48"/>
      <c r="N516" s="48"/>
      <c r="O516" s="48"/>
      <c r="P516" s="48"/>
      <c r="Q516" s="48"/>
    </row>
    <row r="517" spans="2:17" s="46" customFormat="1" ht="15" customHeight="1">
      <c r="B517" s="47"/>
      <c r="C517" s="48"/>
      <c r="D517" s="48"/>
      <c r="E517" s="48"/>
      <c r="F517" s="48"/>
      <c r="G517" s="48"/>
      <c r="H517" s="48"/>
      <c r="I517" s="48"/>
      <c r="J517" s="48"/>
      <c r="K517" s="48"/>
      <c r="L517" s="48"/>
      <c r="M517" s="48"/>
      <c r="N517" s="48"/>
      <c r="O517" s="48"/>
      <c r="P517" s="48"/>
      <c r="Q517" s="48"/>
    </row>
    <row r="518" spans="2:17" s="46" customFormat="1" ht="15" customHeight="1">
      <c r="B518" s="47"/>
      <c r="C518" s="48"/>
      <c r="D518" s="48"/>
      <c r="E518" s="48"/>
      <c r="F518" s="48"/>
      <c r="G518" s="48"/>
      <c r="H518" s="48"/>
      <c r="I518" s="48"/>
      <c r="J518" s="48"/>
      <c r="K518" s="48"/>
      <c r="L518" s="48"/>
      <c r="M518" s="48"/>
      <c r="N518" s="48"/>
      <c r="O518" s="48"/>
      <c r="P518" s="48"/>
      <c r="Q518" s="48"/>
    </row>
    <row r="519" spans="2:17" s="46" customFormat="1" ht="15" customHeight="1">
      <c r="B519" s="47"/>
      <c r="C519" s="48"/>
      <c r="D519" s="48"/>
      <c r="E519" s="48"/>
      <c r="F519" s="48"/>
      <c r="G519" s="48"/>
      <c r="H519" s="48"/>
      <c r="I519" s="48"/>
      <c r="J519" s="48"/>
      <c r="K519" s="48"/>
      <c r="L519" s="48"/>
      <c r="M519" s="48"/>
      <c r="N519" s="48"/>
      <c r="O519" s="48"/>
      <c r="P519" s="48"/>
      <c r="Q519" s="48"/>
    </row>
    <row r="520" spans="2:17" s="46" customFormat="1" ht="15" customHeight="1">
      <c r="B520" s="47"/>
      <c r="C520" s="48"/>
      <c r="D520" s="48"/>
      <c r="E520" s="48"/>
      <c r="F520" s="48"/>
      <c r="G520" s="48"/>
      <c r="H520" s="48"/>
      <c r="I520" s="48"/>
      <c r="J520" s="48"/>
      <c r="K520" s="48"/>
      <c r="L520" s="48"/>
      <c r="M520" s="48"/>
      <c r="N520" s="48"/>
      <c r="O520" s="48"/>
      <c r="P520" s="48"/>
      <c r="Q520" s="48"/>
    </row>
    <row r="521" spans="2:17" s="46" customFormat="1" ht="15" customHeight="1">
      <c r="B521" s="47"/>
      <c r="C521" s="48"/>
      <c r="D521" s="48"/>
      <c r="E521" s="48"/>
      <c r="F521" s="48"/>
      <c r="G521" s="48"/>
      <c r="H521" s="48"/>
      <c r="I521" s="48"/>
      <c r="J521" s="48"/>
      <c r="K521" s="48"/>
      <c r="L521" s="48"/>
      <c r="M521" s="48"/>
      <c r="N521" s="48"/>
      <c r="O521" s="48"/>
      <c r="P521" s="48"/>
      <c r="Q521" s="48"/>
    </row>
    <row r="522" spans="2:17" s="46" customFormat="1" ht="15" customHeight="1">
      <c r="B522" s="47"/>
      <c r="C522" s="48"/>
      <c r="D522" s="48"/>
      <c r="E522" s="48"/>
      <c r="F522" s="48"/>
      <c r="G522" s="48"/>
      <c r="H522" s="48"/>
      <c r="I522" s="48"/>
      <c r="J522" s="48"/>
      <c r="K522" s="48"/>
      <c r="L522" s="48"/>
      <c r="M522" s="48"/>
      <c r="N522" s="48"/>
      <c r="O522" s="48"/>
      <c r="P522" s="48"/>
      <c r="Q522" s="48"/>
    </row>
    <row r="523" spans="2:17" s="46" customFormat="1" ht="15" customHeight="1">
      <c r="B523" s="47"/>
      <c r="C523" s="48"/>
      <c r="D523" s="48"/>
      <c r="E523" s="48"/>
      <c r="F523" s="48"/>
      <c r="G523" s="48"/>
      <c r="H523" s="48"/>
      <c r="I523" s="48"/>
      <c r="J523" s="48"/>
      <c r="K523" s="48"/>
      <c r="L523" s="48"/>
      <c r="M523" s="48"/>
      <c r="N523" s="48"/>
      <c r="O523" s="48"/>
      <c r="P523" s="48"/>
      <c r="Q523" s="48"/>
    </row>
    <row r="524" spans="2:17" s="46" customFormat="1" ht="15" customHeight="1">
      <c r="B524" s="47"/>
      <c r="C524" s="48"/>
      <c r="D524" s="48"/>
      <c r="E524" s="48"/>
      <c r="F524" s="48"/>
      <c r="G524" s="48"/>
      <c r="H524" s="48"/>
      <c r="I524" s="48"/>
      <c r="J524" s="48"/>
      <c r="K524" s="48"/>
      <c r="L524" s="48"/>
      <c r="M524" s="48"/>
      <c r="N524" s="48"/>
      <c r="O524" s="48"/>
      <c r="P524" s="48"/>
      <c r="Q524" s="48"/>
    </row>
    <row r="525" spans="2:17" s="46" customFormat="1" ht="15" customHeight="1">
      <c r="B525" s="47"/>
      <c r="C525" s="48"/>
      <c r="D525" s="48"/>
      <c r="E525" s="48"/>
      <c r="F525" s="48"/>
      <c r="G525" s="48"/>
      <c r="H525" s="48"/>
      <c r="I525" s="48"/>
      <c r="J525" s="48"/>
      <c r="K525" s="48"/>
      <c r="L525" s="48"/>
      <c r="M525" s="48"/>
      <c r="N525" s="48"/>
      <c r="O525" s="48"/>
      <c r="P525" s="48"/>
      <c r="Q525" s="48"/>
    </row>
    <row r="526" spans="2:17" s="46" customFormat="1" ht="15" customHeight="1">
      <c r="B526" s="47"/>
      <c r="C526" s="48"/>
      <c r="D526" s="48"/>
      <c r="E526" s="48"/>
      <c r="F526" s="48"/>
      <c r="G526" s="48"/>
      <c r="H526" s="48"/>
      <c r="I526" s="48"/>
      <c r="J526" s="48"/>
      <c r="K526" s="48"/>
      <c r="L526" s="48"/>
      <c r="M526" s="48"/>
      <c r="N526" s="48"/>
      <c r="O526" s="48"/>
      <c r="P526" s="48"/>
      <c r="Q526" s="48"/>
    </row>
    <row r="527" spans="2:17" s="46" customFormat="1" ht="15" customHeight="1">
      <c r="B527" s="47"/>
      <c r="C527" s="48"/>
      <c r="D527" s="48"/>
      <c r="E527" s="48"/>
      <c r="F527" s="48"/>
      <c r="G527" s="48"/>
      <c r="H527" s="48"/>
      <c r="I527" s="48"/>
      <c r="J527" s="48"/>
      <c r="K527" s="48"/>
      <c r="L527" s="48"/>
      <c r="M527" s="48"/>
      <c r="N527" s="48"/>
      <c r="O527" s="48"/>
      <c r="P527" s="48"/>
      <c r="Q527" s="48"/>
    </row>
    <row r="528" spans="2:17" s="46" customFormat="1" ht="15" customHeight="1">
      <c r="B528" s="47"/>
      <c r="C528" s="48"/>
      <c r="D528" s="48"/>
      <c r="E528" s="48"/>
      <c r="F528" s="48"/>
      <c r="G528" s="48"/>
      <c r="H528" s="48"/>
      <c r="I528" s="48"/>
      <c r="J528" s="48"/>
      <c r="K528" s="48"/>
      <c r="L528" s="48"/>
      <c r="M528" s="48"/>
      <c r="N528" s="48"/>
      <c r="O528" s="48"/>
      <c r="P528" s="48"/>
      <c r="Q528" s="48"/>
    </row>
  </sheetData>
  <mergeCells count="58">
    <mergeCell ref="N16:Q16"/>
    <mergeCell ref="B17:C17"/>
    <mergeCell ref="N17:Q17"/>
    <mergeCell ref="N14:Q14"/>
    <mergeCell ref="D15:E15"/>
    <mergeCell ref="F15:G15"/>
    <mergeCell ref="H15:I15"/>
    <mergeCell ref="J15:K15"/>
    <mergeCell ref="L15:M15"/>
    <mergeCell ref="N15:Q15"/>
    <mergeCell ref="D14:E14"/>
    <mergeCell ref="F14:G14"/>
    <mergeCell ref="H14:I14"/>
    <mergeCell ref="J14:K14"/>
    <mergeCell ref="L14:M14"/>
    <mergeCell ref="N11:Q11"/>
    <mergeCell ref="D10:E10"/>
    <mergeCell ref="F10:G10"/>
    <mergeCell ref="H10:I10"/>
    <mergeCell ref="L13:M13"/>
    <mergeCell ref="N13:Q13"/>
    <mergeCell ref="D12:E12"/>
    <mergeCell ref="F12:G12"/>
    <mergeCell ref="H12:I12"/>
    <mergeCell ref="J12:K12"/>
    <mergeCell ref="L12:M12"/>
    <mergeCell ref="N12:Q12"/>
    <mergeCell ref="D13:E13"/>
    <mergeCell ref="F13:G13"/>
    <mergeCell ref="H13:I13"/>
    <mergeCell ref="J13:K13"/>
    <mergeCell ref="D11:E11"/>
    <mergeCell ref="F11:G11"/>
    <mergeCell ref="H11:I11"/>
    <mergeCell ref="J11:K11"/>
    <mergeCell ref="L11:M11"/>
    <mergeCell ref="J10:K10"/>
    <mergeCell ref="L10:M10"/>
    <mergeCell ref="D8:M8"/>
    <mergeCell ref="N8:Q8"/>
    <mergeCell ref="D9:E9"/>
    <mergeCell ref="F9:G9"/>
    <mergeCell ref="H9:I9"/>
    <mergeCell ref="J9:K9"/>
    <mergeCell ref="L9:M9"/>
    <mergeCell ref="N9:Q9"/>
    <mergeCell ref="N10:Q10"/>
    <mergeCell ref="C5:M5"/>
    <mergeCell ref="N5:Q5"/>
    <mergeCell ref="D6:M6"/>
    <mergeCell ref="N6:Q6"/>
    <mergeCell ref="D7:M7"/>
    <mergeCell ref="N7:Q7"/>
    <mergeCell ref="B1:Q1"/>
    <mergeCell ref="B3:C3"/>
    <mergeCell ref="N3:Q3"/>
    <mergeCell ref="C4:M4"/>
    <mergeCell ref="N4:Q4"/>
  </mergeCells>
  <pageMargins left="0.511811023622047" right="0.511811023622047" top="0.55118110236220497" bottom="0.55118110236220497" header="0.31496062992126" footer="0.31496062992126"/>
  <pageSetup paperSize="9" scale="7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1454817346722"/>
  </sheetPr>
  <dimension ref="B1:AC190"/>
  <sheetViews>
    <sheetView topLeftCell="E1" zoomScale="70" zoomScaleNormal="70" workbookViewId="0">
      <selection activeCell="W56" sqref="W56"/>
    </sheetView>
  </sheetViews>
  <sheetFormatPr baseColWidth="10" defaultColWidth="11.44140625" defaultRowHeight="14.4" outlineLevelRow="1" outlineLevelCol="1"/>
  <cols>
    <col min="1" max="1" width="3.6640625" style="12" customWidth="1"/>
    <col min="2" max="2" width="6.33203125" style="12" customWidth="1"/>
    <col min="3" max="3" width="40.44140625" style="12" customWidth="1"/>
    <col min="4" max="4" width="15.44140625" style="12" customWidth="1"/>
    <col min="5" max="5" width="14.33203125" style="12" customWidth="1"/>
    <col min="6" max="6" width="16.5546875" style="12" customWidth="1"/>
    <col min="7" max="7" width="13.6640625" style="12" customWidth="1"/>
    <col min="8" max="8" width="4.109375" style="12" customWidth="1"/>
    <col min="9" max="9" width="13.44140625" style="14" customWidth="1"/>
    <col min="10" max="10" width="14.109375" style="14" customWidth="1"/>
    <col min="11" max="12" width="11.5546875" style="14" customWidth="1"/>
    <col min="13" max="13" width="11.5546875" style="12" customWidth="1"/>
    <col min="14" max="15" width="11.5546875" style="14" customWidth="1"/>
    <col min="16" max="16" width="11.44140625" style="14" customWidth="1" outlineLevel="1"/>
    <col min="17" max="17" width="11.44140625" style="14"/>
    <col min="18" max="16384" width="11.44140625" style="12"/>
  </cols>
  <sheetData>
    <row r="1" spans="2:29">
      <c r="I1" s="196"/>
    </row>
    <row r="2" spans="2:29" s="78" customFormat="1">
      <c r="B2" s="769" t="s">
        <v>132</v>
      </c>
      <c r="C2" s="769"/>
      <c r="D2" s="769"/>
      <c r="E2" s="769"/>
      <c r="F2" s="769"/>
      <c r="G2" s="769"/>
      <c r="H2" s="175"/>
      <c r="I2" s="770" t="s">
        <v>133</v>
      </c>
      <c r="J2" s="770"/>
      <c r="K2" s="770"/>
      <c r="L2" s="770"/>
      <c r="M2" s="770"/>
      <c r="N2" s="770"/>
      <c r="O2" s="770"/>
      <c r="P2" s="770"/>
      <c r="Q2" s="770"/>
      <c r="R2" s="770"/>
      <c r="S2" s="770"/>
      <c r="T2" s="770"/>
      <c r="U2" s="770"/>
      <c r="V2" s="770"/>
      <c r="W2" s="770"/>
      <c r="X2" s="770"/>
      <c r="Y2" s="770"/>
      <c r="Z2" s="770"/>
      <c r="AA2" s="770"/>
      <c r="AB2" s="770"/>
      <c r="AC2" s="770"/>
    </row>
    <row r="3" spans="2:29" ht="5.25" customHeight="1">
      <c r="I3" s="197"/>
    </row>
    <row r="4" spans="2:29" ht="15" customHeight="1">
      <c r="B4" s="771" t="s">
        <v>134</v>
      </c>
      <c r="C4" s="771"/>
      <c r="D4" s="771"/>
      <c r="E4" s="771"/>
      <c r="F4" s="771"/>
      <c r="G4" s="771"/>
      <c r="H4" s="176"/>
      <c r="I4" s="772" t="s">
        <v>135</v>
      </c>
      <c r="J4" s="772"/>
      <c r="K4" s="772"/>
      <c r="L4" s="772"/>
      <c r="M4" s="772"/>
      <c r="N4" s="772"/>
      <c r="O4" s="772"/>
      <c r="P4" s="772"/>
      <c r="Q4" s="772"/>
      <c r="R4" s="772"/>
      <c r="T4" s="772" t="s">
        <v>1012</v>
      </c>
      <c r="U4" s="772"/>
      <c r="V4" s="772"/>
      <c r="W4" s="772"/>
      <c r="X4" s="772"/>
      <c r="Y4" s="772"/>
      <c r="Z4" s="772"/>
      <c r="AA4" s="772"/>
      <c r="AB4" s="772"/>
      <c r="AC4" s="772"/>
    </row>
    <row r="5" spans="2:29" ht="13.5" customHeight="1">
      <c r="B5" s="177" t="s">
        <v>136</v>
      </c>
      <c r="C5" s="177"/>
      <c r="D5" s="177">
        <v>2021</v>
      </c>
      <c r="E5" s="177">
        <v>2022</v>
      </c>
      <c r="F5" s="177">
        <v>2023</v>
      </c>
      <c r="G5" s="177">
        <v>2024</v>
      </c>
      <c r="I5" s="198"/>
      <c r="J5" s="198"/>
      <c r="M5" s="199"/>
      <c r="N5" s="200"/>
      <c r="O5" s="200"/>
      <c r="P5" s="200"/>
      <c r="Q5" s="200"/>
      <c r="T5" s="198"/>
      <c r="U5" s="198"/>
      <c r="V5" s="14"/>
      <c r="W5" s="14"/>
      <c r="X5" s="199"/>
      <c r="Y5" s="200"/>
      <c r="Z5" s="200"/>
      <c r="AA5" s="200"/>
      <c r="AB5" s="200"/>
    </row>
    <row r="6" spans="2:29" ht="13.5" customHeight="1">
      <c r="B6" s="776" t="s">
        <v>137</v>
      </c>
      <c r="C6" s="178" t="s">
        <v>138</v>
      </c>
      <c r="D6" s="179">
        <v>933.34</v>
      </c>
      <c r="E6" s="179">
        <v>933.34</v>
      </c>
      <c r="F6" s="179">
        <v>933.34</v>
      </c>
      <c r="G6" s="180">
        <v>933.34</v>
      </c>
      <c r="H6" s="181"/>
      <c r="I6" s="198"/>
      <c r="J6" s="198"/>
      <c r="N6" s="201">
        <v>2</v>
      </c>
      <c r="O6" s="202"/>
      <c r="P6" s="200"/>
      <c r="Q6" s="202"/>
      <c r="T6" s="198"/>
      <c r="U6" s="198"/>
      <c r="V6" s="14"/>
      <c r="W6" s="14"/>
      <c r="Y6" s="201">
        <v>2</v>
      </c>
      <c r="Z6" s="202"/>
      <c r="AA6" s="200"/>
      <c r="AB6" s="202"/>
    </row>
    <row r="7" spans="2:29" ht="13.5" customHeight="1">
      <c r="B7" s="777"/>
      <c r="C7" s="78" t="s">
        <v>125</v>
      </c>
      <c r="D7" s="182">
        <v>1040.8900000000001</v>
      </c>
      <c r="E7" s="182">
        <v>1069.23</v>
      </c>
      <c r="F7" s="182">
        <v>1097.56</v>
      </c>
      <c r="G7" s="183">
        <v>1125.8900000000001</v>
      </c>
      <c r="H7" s="181"/>
      <c r="I7" s="773" t="s">
        <v>139</v>
      </c>
      <c r="J7" s="773"/>
      <c r="K7" s="247" t="s">
        <v>140</v>
      </c>
      <c r="L7" s="248" t="s">
        <v>141</v>
      </c>
      <c r="M7" s="248" t="s">
        <v>142</v>
      </c>
      <c r="N7" s="248" t="s">
        <v>143</v>
      </c>
      <c r="O7" s="248" t="s">
        <v>144</v>
      </c>
      <c r="P7" s="248" t="s">
        <v>145</v>
      </c>
      <c r="Q7" s="202"/>
      <c r="T7" s="773" t="s">
        <v>139</v>
      </c>
      <c r="U7" s="773"/>
      <c r="V7" s="247" t="s">
        <v>140</v>
      </c>
      <c r="W7" s="248" t="s">
        <v>141</v>
      </c>
      <c r="X7" s="248" t="s">
        <v>142</v>
      </c>
      <c r="Y7" s="248" t="s">
        <v>143</v>
      </c>
      <c r="Z7" s="248" t="s">
        <v>144</v>
      </c>
      <c r="AA7" s="248" t="s">
        <v>145</v>
      </c>
      <c r="AB7" s="202"/>
    </row>
    <row r="8" spans="2:29" ht="13.5" customHeight="1">
      <c r="B8" s="777"/>
      <c r="C8" s="184" t="s">
        <v>126</v>
      </c>
      <c r="D8" s="185">
        <v>1105.32</v>
      </c>
      <c r="E8" s="185">
        <v>1133.6600000000001</v>
      </c>
      <c r="F8" s="185">
        <v>1161.99</v>
      </c>
      <c r="G8" s="186">
        <v>1190.32</v>
      </c>
      <c r="H8" s="181"/>
      <c r="I8" s="774" t="s">
        <v>138</v>
      </c>
      <c r="J8" s="775"/>
      <c r="K8" s="179">
        <v>933.34</v>
      </c>
      <c r="L8" s="30">
        <v>34.71</v>
      </c>
      <c r="M8" s="30">
        <v>115.69</v>
      </c>
      <c r="N8" s="203">
        <f t="shared" ref="N8:N28" si="0">K8*$N$6</f>
        <v>1866.68</v>
      </c>
      <c r="O8" s="203">
        <f>K8</f>
        <v>933.34</v>
      </c>
      <c r="P8" s="203">
        <v>450</v>
      </c>
      <c r="Q8" s="202"/>
      <c r="T8" s="774" t="s">
        <v>138</v>
      </c>
      <c r="U8" s="775"/>
      <c r="V8" s="179">
        <f t="shared" ref="V8:AA8" si="1">K36</f>
        <v>933.34</v>
      </c>
      <c r="W8" s="212">
        <f t="shared" si="1"/>
        <v>34.71</v>
      </c>
      <c r="X8" s="30">
        <f t="shared" si="1"/>
        <v>115.69</v>
      </c>
      <c r="Y8" s="203">
        <f t="shared" si="1"/>
        <v>1866.68</v>
      </c>
      <c r="Z8" s="203">
        <f t="shared" si="1"/>
        <v>933.34</v>
      </c>
      <c r="AA8" s="203">
        <f t="shared" si="1"/>
        <v>450</v>
      </c>
      <c r="AB8" s="202"/>
    </row>
    <row r="9" spans="2:29" ht="14.25" customHeight="1">
      <c r="B9" s="777"/>
      <c r="C9" s="78" t="s">
        <v>146</v>
      </c>
      <c r="D9" s="182">
        <v>1105.3399999999999</v>
      </c>
      <c r="E9" s="182">
        <v>1133.68</v>
      </c>
      <c r="F9" s="182">
        <v>1162.01</v>
      </c>
      <c r="G9" s="183">
        <v>1190.3399999999999</v>
      </c>
      <c r="H9" s="181"/>
      <c r="I9" s="767" t="s">
        <v>125</v>
      </c>
      <c r="J9" s="768"/>
      <c r="K9" s="182">
        <v>1097.56</v>
      </c>
      <c r="L9" s="8">
        <v>34.71</v>
      </c>
      <c r="M9" s="8">
        <v>115.69</v>
      </c>
      <c r="N9" s="204">
        <f t="shared" si="0"/>
        <v>2195.12</v>
      </c>
      <c r="O9" s="204">
        <f t="shared" ref="O9:O28" si="2">K9</f>
        <v>1097.56</v>
      </c>
      <c r="P9" s="204">
        <v>450</v>
      </c>
      <c r="Q9" s="202"/>
      <c r="T9" s="767" t="s">
        <v>125</v>
      </c>
      <c r="U9" s="768"/>
      <c r="V9" s="182">
        <f t="shared" ref="V9:V28" si="3">K37</f>
        <v>1125.8900000000001</v>
      </c>
      <c r="W9" s="213">
        <f t="shared" ref="W9:W28" si="4">L37</f>
        <v>34.71</v>
      </c>
      <c r="X9" s="8">
        <f t="shared" ref="X9:X28" si="5">M37</f>
        <v>115.69</v>
      </c>
      <c r="Y9" s="204">
        <f t="shared" ref="Y9:Y28" si="6">N37</f>
        <v>2251.7800000000002</v>
      </c>
      <c r="Z9" s="204">
        <f t="shared" ref="Z9:Z28" si="7">O37</f>
        <v>1125.8900000000001</v>
      </c>
      <c r="AA9" s="204">
        <f t="shared" ref="AA9:AA28" si="8">P37</f>
        <v>450</v>
      </c>
      <c r="AB9" s="202"/>
    </row>
    <row r="10" spans="2:29">
      <c r="B10" s="777"/>
      <c r="C10" s="184" t="s">
        <v>147</v>
      </c>
      <c r="D10" s="185">
        <v>1149</v>
      </c>
      <c r="E10" s="185">
        <v>1177.3699999999999</v>
      </c>
      <c r="F10" s="185">
        <v>1205.67</v>
      </c>
      <c r="G10" s="186">
        <v>1234</v>
      </c>
      <c r="H10" s="181"/>
      <c r="I10" s="774" t="s">
        <v>126</v>
      </c>
      <c r="J10" s="775"/>
      <c r="K10" s="185">
        <v>1161.99</v>
      </c>
      <c r="L10" s="30">
        <v>34.71</v>
      </c>
      <c r="M10" s="30">
        <v>115.69</v>
      </c>
      <c r="N10" s="203">
        <f t="shared" si="0"/>
        <v>2323.98</v>
      </c>
      <c r="O10" s="203">
        <f t="shared" si="2"/>
        <v>1161.99</v>
      </c>
      <c r="P10" s="203">
        <v>450</v>
      </c>
      <c r="Q10" s="202"/>
      <c r="T10" s="774" t="s">
        <v>126</v>
      </c>
      <c r="U10" s="775"/>
      <c r="V10" s="185">
        <f t="shared" si="3"/>
        <v>1190.32</v>
      </c>
      <c r="W10" s="212">
        <f t="shared" si="4"/>
        <v>34.71</v>
      </c>
      <c r="X10" s="30">
        <f t="shared" si="5"/>
        <v>115.69</v>
      </c>
      <c r="Y10" s="203">
        <f t="shared" si="6"/>
        <v>2380.64</v>
      </c>
      <c r="Z10" s="203">
        <f t="shared" si="7"/>
        <v>1190.32</v>
      </c>
      <c r="AA10" s="203">
        <f t="shared" si="8"/>
        <v>450</v>
      </c>
      <c r="AB10" s="202"/>
    </row>
    <row r="11" spans="2:29">
      <c r="B11" s="777"/>
      <c r="C11" s="78" t="s">
        <v>127</v>
      </c>
      <c r="D11" s="182">
        <v>1155.55</v>
      </c>
      <c r="E11" s="182">
        <v>1183.8900000000001</v>
      </c>
      <c r="F11" s="182">
        <v>1212.22</v>
      </c>
      <c r="G11" s="183">
        <v>1240.55</v>
      </c>
      <c r="H11" s="181"/>
      <c r="I11" s="767" t="s">
        <v>146</v>
      </c>
      <c r="J11" s="768"/>
      <c r="K11" s="182">
        <v>1162.01</v>
      </c>
      <c r="L11" s="8">
        <v>34.71</v>
      </c>
      <c r="M11" s="8">
        <v>115.69</v>
      </c>
      <c r="N11" s="204">
        <f t="shared" si="0"/>
        <v>2324.02</v>
      </c>
      <c r="O11" s="204">
        <f t="shared" si="2"/>
        <v>1162.01</v>
      </c>
      <c r="P11" s="204">
        <v>450</v>
      </c>
      <c r="Q11" s="202"/>
      <c r="T11" s="767" t="s">
        <v>146</v>
      </c>
      <c r="U11" s="768"/>
      <c r="V11" s="182">
        <f t="shared" si="3"/>
        <v>1190.3399999999999</v>
      </c>
      <c r="W11" s="213">
        <f t="shared" si="4"/>
        <v>34.71</v>
      </c>
      <c r="X11" s="8">
        <f t="shared" si="5"/>
        <v>115.69</v>
      </c>
      <c r="Y11" s="204">
        <f t="shared" si="6"/>
        <v>2380.6799999999998</v>
      </c>
      <c r="Z11" s="204">
        <f t="shared" si="7"/>
        <v>1190.3399999999999</v>
      </c>
      <c r="AA11" s="204">
        <f t="shared" si="8"/>
        <v>450</v>
      </c>
      <c r="AB11" s="202"/>
    </row>
    <row r="12" spans="2:29">
      <c r="B12" s="777"/>
      <c r="C12" s="184" t="s">
        <v>148</v>
      </c>
      <c r="D12" s="185">
        <v>1219.98</v>
      </c>
      <c r="E12" s="185">
        <v>1248.32</v>
      </c>
      <c r="F12" s="185">
        <v>1276.6500000000001</v>
      </c>
      <c r="G12" s="186">
        <v>1304.98</v>
      </c>
      <c r="H12" s="181"/>
      <c r="I12" s="774" t="s">
        <v>147</v>
      </c>
      <c r="J12" s="775"/>
      <c r="K12" s="185">
        <v>1205.67</v>
      </c>
      <c r="L12" s="30">
        <v>34.71</v>
      </c>
      <c r="M12" s="30">
        <v>115.69</v>
      </c>
      <c r="N12" s="203">
        <f t="shared" si="0"/>
        <v>2411.34</v>
      </c>
      <c r="O12" s="203">
        <f t="shared" si="2"/>
        <v>1205.67</v>
      </c>
      <c r="P12" s="203">
        <v>450</v>
      </c>
      <c r="Q12" s="202"/>
      <c r="T12" s="774" t="s">
        <v>147</v>
      </c>
      <c r="U12" s="775"/>
      <c r="V12" s="185">
        <f t="shared" si="3"/>
        <v>1234</v>
      </c>
      <c r="W12" s="212">
        <f t="shared" si="4"/>
        <v>34.71</v>
      </c>
      <c r="X12" s="30">
        <f t="shared" si="5"/>
        <v>115.69</v>
      </c>
      <c r="Y12" s="203">
        <f t="shared" si="6"/>
        <v>2468</v>
      </c>
      <c r="Z12" s="203">
        <f t="shared" si="7"/>
        <v>1234</v>
      </c>
      <c r="AA12" s="203">
        <f t="shared" si="8"/>
        <v>450</v>
      </c>
      <c r="AB12" s="202"/>
    </row>
    <row r="13" spans="2:29">
      <c r="B13" s="777"/>
      <c r="C13" s="78" t="s">
        <v>149</v>
      </c>
      <c r="D13" s="182">
        <v>1219.98</v>
      </c>
      <c r="E13" s="182">
        <v>1248.32</v>
      </c>
      <c r="F13" s="182">
        <v>1276.6500000000001</v>
      </c>
      <c r="G13" s="183">
        <v>1304.98</v>
      </c>
      <c r="H13" s="181"/>
      <c r="I13" s="767" t="s">
        <v>127</v>
      </c>
      <c r="J13" s="768"/>
      <c r="K13" s="182">
        <v>1212.22</v>
      </c>
      <c r="L13" s="8">
        <v>34.71</v>
      </c>
      <c r="M13" s="8">
        <v>115.69</v>
      </c>
      <c r="N13" s="204">
        <f t="shared" si="0"/>
        <v>2424.44</v>
      </c>
      <c r="O13" s="204">
        <f t="shared" si="2"/>
        <v>1212.22</v>
      </c>
      <c r="P13" s="204">
        <v>450</v>
      </c>
      <c r="Q13" s="202"/>
      <c r="T13" s="767" t="s">
        <v>127</v>
      </c>
      <c r="U13" s="768"/>
      <c r="V13" s="182">
        <f t="shared" si="3"/>
        <v>1240.55</v>
      </c>
      <c r="W13" s="213">
        <f t="shared" si="4"/>
        <v>34.71</v>
      </c>
      <c r="X13" s="8">
        <f t="shared" si="5"/>
        <v>115.69</v>
      </c>
      <c r="Y13" s="204">
        <f t="shared" si="6"/>
        <v>2481.1</v>
      </c>
      <c r="Z13" s="204">
        <f t="shared" si="7"/>
        <v>1240.55</v>
      </c>
      <c r="AA13" s="204">
        <f t="shared" si="8"/>
        <v>450</v>
      </c>
      <c r="AB13" s="202"/>
    </row>
    <row r="14" spans="2:29">
      <c r="B14" s="777"/>
      <c r="C14" s="184" t="s">
        <v>150</v>
      </c>
      <c r="D14" s="185">
        <v>1278.97</v>
      </c>
      <c r="E14" s="185">
        <v>1307.31</v>
      </c>
      <c r="F14" s="185">
        <v>1335.64</v>
      </c>
      <c r="G14" s="186">
        <v>1363.97</v>
      </c>
      <c r="H14" s="181"/>
      <c r="I14" s="774" t="s">
        <v>148</v>
      </c>
      <c r="J14" s="775"/>
      <c r="K14" s="185">
        <v>1276.6500000000001</v>
      </c>
      <c r="L14" s="30">
        <v>34.71</v>
      </c>
      <c r="M14" s="30">
        <v>115.69</v>
      </c>
      <c r="N14" s="203">
        <f t="shared" si="0"/>
        <v>2553.3000000000002</v>
      </c>
      <c r="O14" s="203">
        <f t="shared" si="2"/>
        <v>1276.6500000000001</v>
      </c>
      <c r="P14" s="203">
        <v>450</v>
      </c>
      <c r="Q14" s="202"/>
      <c r="T14" s="774" t="s">
        <v>148</v>
      </c>
      <c r="U14" s="775"/>
      <c r="V14" s="185">
        <f t="shared" si="3"/>
        <v>1304.98</v>
      </c>
      <c r="W14" s="212">
        <f t="shared" si="4"/>
        <v>34.71</v>
      </c>
      <c r="X14" s="30">
        <f t="shared" si="5"/>
        <v>115.69</v>
      </c>
      <c r="Y14" s="203">
        <f t="shared" si="6"/>
        <v>2609.96</v>
      </c>
      <c r="Z14" s="203">
        <f t="shared" si="7"/>
        <v>1304.98</v>
      </c>
      <c r="AA14" s="203">
        <f t="shared" si="8"/>
        <v>450</v>
      </c>
      <c r="AB14" s="202"/>
    </row>
    <row r="15" spans="2:29">
      <c r="B15" s="778"/>
      <c r="C15" s="187" t="s">
        <v>151</v>
      </c>
      <c r="D15" s="188">
        <v>1278.97</v>
      </c>
      <c r="E15" s="188">
        <v>1307.31</v>
      </c>
      <c r="F15" s="188">
        <v>1335.64</v>
      </c>
      <c r="G15" s="189">
        <v>1363.97</v>
      </c>
      <c r="H15" s="181"/>
      <c r="I15" s="767" t="s">
        <v>149</v>
      </c>
      <c r="J15" s="768"/>
      <c r="K15" s="182">
        <v>1276.6500000000001</v>
      </c>
      <c r="L15" s="8">
        <v>34.71</v>
      </c>
      <c r="M15" s="8">
        <v>115.69</v>
      </c>
      <c r="N15" s="204">
        <f t="shared" si="0"/>
        <v>2553.3000000000002</v>
      </c>
      <c r="O15" s="204">
        <f t="shared" si="2"/>
        <v>1276.6500000000001</v>
      </c>
      <c r="P15" s="204">
        <v>450</v>
      </c>
      <c r="Q15" s="202"/>
      <c r="T15" s="767" t="s">
        <v>149</v>
      </c>
      <c r="U15" s="768"/>
      <c r="V15" s="182">
        <f t="shared" si="3"/>
        <v>1304.98</v>
      </c>
      <c r="W15" s="213">
        <f t="shared" si="4"/>
        <v>34.71</v>
      </c>
      <c r="X15" s="8">
        <f t="shared" si="5"/>
        <v>115.69</v>
      </c>
      <c r="Y15" s="204">
        <f t="shared" si="6"/>
        <v>2609.96</v>
      </c>
      <c r="Z15" s="204">
        <f t="shared" si="7"/>
        <v>1304.98</v>
      </c>
      <c r="AA15" s="204">
        <f t="shared" si="8"/>
        <v>450</v>
      </c>
      <c r="AB15" s="202"/>
    </row>
    <row r="16" spans="2:29">
      <c r="B16" s="780" t="s">
        <v>152</v>
      </c>
      <c r="C16" s="178" t="s">
        <v>153</v>
      </c>
      <c r="D16" s="185">
        <v>933.34</v>
      </c>
      <c r="E16" s="179">
        <v>933.34</v>
      </c>
      <c r="F16" s="179">
        <v>933.34</v>
      </c>
      <c r="G16" s="180">
        <v>933.34</v>
      </c>
      <c r="H16" s="181"/>
      <c r="I16" s="774" t="s">
        <v>150</v>
      </c>
      <c r="J16" s="775"/>
      <c r="K16" s="185">
        <v>1335.64</v>
      </c>
      <c r="L16" s="30">
        <v>34.71</v>
      </c>
      <c r="M16" s="30">
        <v>115.69</v>
      </c>
      <c r="N16" s="203">
        <f t="shared" si="0"/>
        <v>2671.28</v>
      </c>
      <c r="O16" s="203">
        <f t="shared" si="2"/>
        <v>1335.64</v>
      </c>
      <c r="P16" s="203">
        <v>450</v>
      </c>
      <c r="Q16" s="202"/>
      <c r="T16" s="774" t="s">
        <v>150</v>
      </c>
      <c r="U16" s="775"/>
      <c r="V16" s="185">
        <f t="shared" si="3"/>
        <v>1363.97</v>
      </c>
      <c r="W16" s="212">
        <f t="shared" si="4"/>
        <v>34.71</v>
      </c>
      <c r="X16" s="30">
        <f t="shared" si="5"/>
        <v>115.69</v>
      </c>
      <c r="Y16" s="203">
        <f t="shared" si="6"/>
        <v>2727.94</v>
      </c>
      <c r="Z16" s="203">
        <f t="shared" si="7"/>
        <v>1363.97</v>
      </c>
      <c r="AA16" s="203">
        <f t="shared" si="8"/>
        <v>450</v>
      </c>
      <c r="AB16" s="202"/>
    </row>
    <row r="17" spans="2:28">
      <c r="B17" s="781"/>
      <c r="C17" s="78" t="s">
        <v>154</v>
      </c>
      <c r="D17" s="182">
        <v>933.34</v>
      </c>
      <c r="E17" s="182">
        <v>933.34</v>
      </c>
      <c r="F17" s="182">
        <v>933.34</v>
      </c>
      <c r="G17" s="183">
        <v>933.34</v>
      </c>
      <c r="H17" s="181"/>
      <c r="I17" s="767" t="s">
        <v>151</v>
      </c>
      <c r="J17" s="768"/>
      <c r="K17" s="188">
        <v>1335.64</v>
      </c>
      <c r="L17" s="8">
        <v>34.71</v>
      </c>
      <c r="M17" s="8">
        <v>115.69</v>
      </c>
      <c r="N17" s="204">
        <f t="shared" si="0"/>
        <v>2671.28</v>
      </c>
      <c r="O17" s="204">
        <f t="shared" si="2"/>
        <v>1335.64</v>
      </c>
      <c r="P17" s="204">
        <v>450</v>
      </c>
      <c r="Q17" s="202"/>
      <c r="T17" s="767" t="s">
        <v>151</v>
      </c>
      <c r="U17" s="768"/>
      <c r="V17" s="188">
        <f t="shared" si="3"/>
        <v>1363.97</v>
      </c>
      <c r="W17" s="213">
        <f t="shared" si="4"/>
        <v>34.71</v>
      </c>
      <c r="X17" s="8">
        <f t="shared" si="5"/>
        <v>115.69</v>
      </c>
      <c r="Y17" s="204">
        <f t="shared" si="6"/>
        <v>2727.94</v>
      </c>
      <c r="Z17" s="204">
        <f t="shared" si="7"/>
        <v>1363.97</v>
      </c>
      <c r="AA17" s="204">
        <f t="shared" si="8"/>
        <v>450</v>
      </c>
      <c r="AB17" s="202"/>
    </row>
    <row r="18" spans="2:28">
      <c r="B18" s="781"/>
      <c r="C18" s="184" t="s">
        <v>155</v>
      </c>
      <c r="D18" s="185">
        <v>1159.93</v>
      </c>
      <c r="E18" s="185">
        <v>1188.27</v>
      </c>
      <c r="F18" s="185">
        <v>1216.5999999999999</v>
      </c>
      <c r="G18" s="186">
        <v>1244.93</v>
      </c>
      <c r="H18" s="181"/>
      <c r="I18" s="774" t="s">
        <v>153</v>
      </c>
      <c r="J18" s="775"/>
      <c r="K18" s="179">
        <v>933.34</v>
      </c>
      <c r="L18" s="30">
        <v>34.71</v>
      </c>
      <c r="M18" s="30">
        <v>115.69</v>
      </c>
      <c r="N18" s="203">
        <f t="shared" si="0"/>
        <v>1866.68</v>
      </c>
      <c r="O18" s="203">
        <f t="shared" si="2"/>
        <v>933.34</v>
      </c>
      <c r="P18" s="203">
        <v>450</v>
      </c>
      <c r="Q18" s="202"/>
      <c r="T18" s="774" t="s">
        <v>153</v>
      </c>
      <c r="U18" s="775"/>
      <c r="V18" s="179">
        <f t="shared" si="3"/>
        <v>933.34</v>
      </c>
      <c r="W18" s="212">
        <f t="shared" si="4"/>
        <v>34.71</v>
      </c>
      <c r="X18" s="30">
        <f t="shared" si="5"/>
        <v>115.69</v>
      </c>
      <c r="Y18" s="203">
        <f t="shared" si="6"/>
        <v>1866.68</v>
      </c>
      <c r="Z18" s="203">
        <f t="shared" si="7"/>
        <v>933.34</v>
      </c>
      <c r="AA18" s="203">
        <f t="shared" si="8"/>
        <v>450</v>
      </c>
      <c r="AB18" s="202"/>
    </row>
    <row r="19" spans="2:28">
      <c r="B19" s="781"/>
      <c r="C19" s="78" t="s">
        <v>131</v>
      </c>
      <c r="D19" s="182">
        <v>1214.8499999999999</v>
      </c>
      <c r="E19" s="182">
        <v>1243.19</v>
      </c>
      <c r="F19" s="182">
        <v>1271.52</v>
      </c>
      <c r="G19" s="183">
        <v>1299.8499999999999</v>
      </c>
      <c r="H19" s="181"/>
      <c r="I19" s="767" t="s">
        <v>154</v>
      </c>
      <c r="J19" s="768"/>
      <c r="K19" s="182">
        <v>933.34</v>
      </c>
      <c r="L19" s="8">
        <v>34.71</v>
      </c>
      <c r="M19" s="8">
        <v>115.69</v>
      </c>
      <c r="N19" s="204">
        <f t="shared" si="0"/>
        <v>1866.68</v>
      </c>
      <c r="O19" s="204">
        <f t="shared" si="2"/>
        <v>933.34</v>
      </c>
      <c r="P19" s="204">
        <v>450</v>
      </c>
      <c r="Q19" s="202"/>
      <c r="T19" s="767" t="s">
        <v>154</v>
      </c>
      <c r="U19" s="768"/>
      <c r="V19" s="182">
        <f t="shared" si="3"/>
        <v>933.34</v>
      </c>
      <c r="W19" s="213">
        <f t="shared" si="4"/>
        <v>34.71</v>
      </c>
      <c r="X19" s="8">
        <f t="shared" si="5"/>
        <v>115.69</v>
      </c>
      <c r="Y19" s="204">
        <f t="shared" si="6"/>
        <v>1866.68</v>
      </c>
      <c r="Z19" s="204">
        <f t="shared" si="7"/>
        <v>933.34</v>
      </c>
      <c r="AA19" s="204">
        <f t="shared" si="8"/>
        <v>450</v>
      </c>
      <c r="AB19" s="202"/>
    </row>
    <row r="20" spans="2:28">
      <c r="B20" s="781"/>
      <c r="C20" s="184" t="s">
        <v>156</v>
      </c>
      <c r="D20" s="185">
        <v>1313.9</v>
      </c>
      <c r="E20" s="185">
        <v>1342.24</v>
      </c>
      <c r="F20" s="185">
        <v>1370.57</v>
      </c>
      <c r="G20" s="186">
        <v>1398.9</v>
      </c>
      <c r="H20" s="181"/>
      <c r="I20" s="774" t="s">
        <v>155</v>
      </c>
      <c r="J20" s="775"/>
      <c r="K20" s="185">
        <v>1216.5999999999999</v>
      </c>
      <c r="L20" s="30">
        <v>34.71</v>
      </c>
      <c r="M20" s="30">
        <v>115.69</v>
      </c>
      <c r="N20" s="203">
        <f t="shared" si="0"/>
        <v>2433.1999999999998</v>
      </c>
      <c r="O20" s="203">
        <f t="shared" si="2"/>
        <v>1216.5999999999999</v>
      </c>
      <c r="P20" s="203">
        <v>450</v>
      </c>
      <c r="Q20" s="202"/>
      <c r="T20" s="774" t="s">
        <v>155</v>
      </c>
      <c r="U20" s="775"/>
      <c r="V20" s="185">
        <f t="shared" si="3"/>
        <v>1244.93</v>
      </c>
      <c r="W20" s="212">
        <f t="shared" si="4"/>
        <v>34.71</v>
      </c>
      <c r="X20" s="30">
        <f t="shared" si="5"/>
        <v>115.69</v>
      </c>
      <c r="Y20" s="203">
        <f t="shared" si="6"/>
        <v>2489.86</v>
      </c>
      <c r="Z20" s="203">
        <f t="shared" si="7"/>
        <v>1244.93</v>
      </c>
      <c r="AA20" s="203">
        <f t="shared" si="8"/>
        <v>450</v>
      </c>
      <c r="AB20" s="202"/>
    </row>
    <row r="21" spans="2:28">
      <c r="B21" s="781"/>
      <c r="C21" s="78" t="s">
        <v>157</v>
      </c>
      <c r="D21" s="182">
        <v>1402.35</v>
      </c>
      <c r="E21" s="182">
        <v>1430.69</v>
      </c>
      <c r="F21" s="182">
        <v>1459.02</v>
      </c>
      <c r="G21" s="183">
        <v>1487.35</v>
      </c>
      <c r="H21" s="181"/>
      <c r="I21" s="767" t="s">
        <v>131</v>
      </c>
      <c r="J21" s="768"/>
      <c r="K21" s="182">
        <v>1271.52</v>
      </c>
      <c r="L21" s="8">
        <v>34.71</v>
      </c>
      <c r="M21" s="8">
        <v>115.69</v>
      </c>
      <c r="N21" s="204">
        <f t="shared" si="0"/>
        <v>2543.04</v>
      </c>
      <c r="O21" s="204">
        <f t="shared" si="2"/>
        <v>1271.52</v>
      </c>
      <c r="P21" s="204">
        <v>450</v>
      </c>
      <c r="Q21" s="202"/>
      <c r="T21" s="767" t="s">
        <v>131</v>
      </c>
      <c r="U21" s="768"/>
      <c r="V21" s="182">
        <f t="shared" si="3"/>
        <v>1299.8499999999999</v>
      </c>
      <c r="W21" s="213">
        <f t="shared" si="4"/>
        <v>34.71</v>
      </c>
      <c r="X21" s="8">
        <f t="shared" si="5"/>
        <v>115.69</v>
      </c>
      <c r="Y21" s="204">
        <f t="shared" si="6"/>
        <v>2599.6999999999998</v>
      </c>
      <c r="Z21" s="204">
        <f t="shared" si="7"/>
        <v>1299.8499999999999</v>
      </c>
      <c r="AA21" s="204">
        <f t="shared" si="8"/>
        <v>450</v>
      </c>
      <c r="AB21" s="202"/>
    </row>
    <row r="22" spans="2:28">
      <c r="B22" s="782" t="s">
        <v>158</v>
      </c>
      <c r="C22" s="178" t="s">
        <v>159</v>
      </c>
      <c r="D22" s="179">
        <v>1585.45</v>
      </c>
      <c r="E22" s="179">
        <v>1613.79</v>
      </c>
      <c r="F22" s="179">
        <v>1642.12</v>
      </c>
      <c r="G22" s="180">
        <v>1670.45</v>
      </c>
      <c r="H22" s="181"/>
      <c r="I22" s="774" t="s">
        <v>156</v>
      </c>
      <c r="J22" s="775"/>
      <c r="K22" s="185">
        <v>1370.57</v>
      </c>
      <c r="L22" s="30">
        <v>34.71</v>
      </c>
      <c r="M22" s="30">
        <v>115.69</v>
      </c>
      <c r="N22" s="203">
        <f t="shared" si="0"/>
        <v>2741.14</v>
      </c>
      <c r="O22" s="203">
        <f t="shared" si="2"/>
        <v>1370.57</v>
      </c>
      <c r="P22" s="203">
        <v>450</v>
      </c>
      <c r="Q22" s="202"/>
      <c r="T22" s="774" t="s">
        <v>156</v>
      </c>
      <c r="U22" s="775"/>
      <c r="V22" s="185">
        <f t="shared" si="3"/>
        <v>1398.9</v>
      </c>
      <c r="W22" s="212">
        <f t="shared" si="4"/>
        <v>34.71</v>
      </c>
      <c r="X22" s="30">
        <f t="shared" si="5"/>
        <v>115.69</v>
      </c>
      <c r="Y22" s="203">
        <f t="shared" si="6"/>
        <v>2797.8</v>
      </c>
      <c r="Z22" s="203">
        <f t="shared" si="7"/>
        <v>1398.9</v>
      </c>
      <c r="AA22" s="203">
        <f t="shared" si="8"/>
        <v>450</v>
      </c>
      <c r="AB22" s="202"/>
    </row>
    <row r="23" spans="2:28">
      <c r="B23" s="783"/>
      <c r="C23" s="78" t="s">
        <v>160</v>
      </c>
      <c r="D23" s="182">
        <v>1411.13</v>
      </c>
      <c r="E23" s="182">
        <v>1439.47</v>
      </c>
      <c r="F23" s="182">
        <v>1467</v>
      </c>
      <c r="G23" s="183">
        <v>1496.13</v>
      </c>
      <c r="H23" s="181"/>
      <c r="I23" s="767" t="s">
        <v>157</v>
      </c>
      <c r="J23" s="768"/>
      <c r="K23" s="182">
        <v>1459.02</v>
      </c>
      <c r="L23" s="8">
        <v>34.71</v>
      </c>
      <c r="M23" s="8">
        <v>115.69</v>
      </c>
      <c r="N23" s="204">
        <f t="shared" si="0"/>
        <v>2918.04</v>
      </c>
      <c r="O23" s="204">
        <f t="shared" si="2"/>
        <v>1459.02</v>
      </c>
      <c r="P23" s="204">
        <v>450</v>
      </c>
      <c r="Q23" s="202"/>
      <c r="T23" s="767" t="s">
        <v>157</v>
      </c>
      <c r="U23" s="768"/>
      <c r="V23" s="182">
        <f t="shared" si="3"/>
        <v>1487.35</v>
      </c>
      <c r="W23" s="213">
        <f t="shared" si="4"/>
        <v>34.71</v>
      </c>
      <c r="X23" s="8">
        <f t="shared" si="5"/>
        <v>115.69</v>
      </c>
      <c r="Y23" s="204">
        <f t="shared" si="6"/>
        <v>2974.7</v>
      </c>
      <c r="Z23" s="204">
        <f t="shared" si="7"/>
        <v>1487.35</v>
      </c>
      <c r="AA23" s="204">
        <f t="shared" si="8"/>
        <v>450</v>
      </c>
      <c r="AB23" s="202"/>
    </row>
    <row r="24" spans="2:28">
      <c r="B24" s="783"/>
      <c r="C24" s="184" t="s">
        <v>161</v>
      </c>
      <c r="D24" s="185">
        <v>1542.51</v>
      </c>
      <c r="E24" s="185">
        <v>1570.85</v>
      </c>
      <c r="F24" s="185">
        <v>1599.18</v>
      </c>
      <c r="G24" s="186">
        <v>1627.51</v>
      </c>
      <c r="H24" s="181"/>
      <c r="I24" s="774" t="s">
        <v>159</v>
      </c>
      <c r="J24" s="775"/>
      <c r="K24" s="179">
        <v>1642.12</v>
      </c>
      <c r="L24" s="30">
        <v>34.71</v>
      </c>
      <c r="M24" s="30">
        <v>115.69</v>
      </c>
      <c r="N24" s="203">
        <f t="shared" si="0"/>
        <v>3284.24</v>
      </c>
      <c r="O24" s="203">
        <f t="shared" si="2"/>
        <v>1642.12</v>
      </c>
      <c r="P24" s="203">
        <v>450</v>
      </c>
      <c r="Q24" s="202"/>
      <c r="T24" s="774" t="s">
        <v>159</v>
      </c>
      <c r="U24" s="775"/>
      <c r="V24" s="179">
        <f t="shared" si="3"/>
        <v>1670.45</v>
      </c>
      <c r="W24" s="212">
        <f t="shared" si="4"/>
        <v>34.71</v>
      </c>
      <c r="X24" s="30">
        <f t="shared" si="5"/>
        <v>115.69</v>
      </c>
      <c r="Y24" s="203">
        <f t="shared" si="6"/>
        <v>3340.9</v>
      </c>
      <c r="Z24" s="203">
        <f t="shared" si="7"/>
        <v>1670.45</v>
      </c>
      <c r="AA24" s="203">
        <f t="shared" si="8"/>
        <v>450</v>
      </c>
      <c r="AB24" s="202"/>
    </row>
    <row r="25" spans="2:28">
      <c r="B25" s="783"/>
      <c r="C25" s="78" t="s">
        <v>162</v>
      </c>
      <c r="D25" s="182">
        <v>1662.25</v>
      </c>
      <c r="E25" s="182">
        <v>1690.59</v>
      </c>
      <c r="F25" s="182">
        <v>1718.92</v>
      </c>
      <c r="G25" s="183">
        <v>1747.25</v>
      </c>
      <c r="I25" s="767" t="s">
        <v>160</v>
      </c>
      <c r="J25" s="768"/>
      <c r="K25" s="182">
        <v>1467</v>
      </c>
      <c r="L25" s="8">
        <v>34.71</v>
      </c>
      <c r="M25" s="8">
        <v>115.69</v>
      </c>
      <c r="N25" s="204">
        <f t="shared" si="0"/>
        <v>2934</v>
      </c>
      <c r="O25" s="204">
        <f t="shared" si="2"/>
        <v>1467</v>
      </c>
      <c r="P25" s="204">
        <v>450</v>
      </c>
      <c r="Q25" s="202"/>
      <c r="T25" s="767" t="s">
        <v>160</v>
      </c>
      <c r="U25" s="768"/>
      <c r="V25" s="182">
        <f t="shared" si="3"/>
        <v>1496.13</v>
      </c>
      <c r="W25" s="213">
        <f t="shared" si="4"/>
        <v>34.71</v>
      </c>
      <c r="X25" s="8">
        <f t="shared" si="5"/>
        <v>115.69</v>
      </c>
      <c r="Y25" s="204">
        <f t="shared" si="6"/>
        <v>2992.26</v>
      </c>
      <c r="Z25" s="204">
        <f t="shared" si="7"/>
        <v>1496.13</v>
      </c>
      <c r="AA25" s="204">
        <f t="shared" si="8"/>
        <v>450</v>
      </c>
      <c r="AB25" s="202"/>
    </row>
    <row r="26" spans="2:28">
      <c r="B26" s="784"/>
      <c r="C26" s="190" t="s">
        <v>163</v>
      </c>
      <c r="D26" s="191">
        <v>1913.41</v>
      </c>
      <c r="E26" s="191">
        <v>1941.75</v>
      </c>
      <c r="F26" s="191">
        <v>1970.08</v>
      </c>
      <c r="G26" s="192">
        <v>1998.41</v>
      </c>
      <c r="I26" s="774" t="s">
        <v>161</v>
      </c>
      <c r="J26" s="775"/>
      <c r="K26" s="185">
        <v>1599.18</v>
      </c>
      <c r="L26" s="30">
        <v>34.71</v>
      </c>
      <c r="M26" s="30">
        <v>115.69</v>
      </c>
      <c r="N26" s="203">
        <f t="shared" si="0"/>
        <v>3198.36</v>
      </c>
      <c r="O26" s="203">
        <f t="shared" si="2"/>
        <v>1599.18</v>
      </c>
      <c r="P26" s="203">
        <v>450</v>
      </c>
      <c r="Q26" s="202"/>
      <c r="T26" s="774" t="s">
        <v>161</v>
      </c>
      <c r="U26" s="775"/>
      <c r="V26" s="185">
        <f t="shared" si="3"/>
        <v>1627.51</v>
      </c>
      <c r="W26" s="212">
        <f t="shared" si="4"/>
        <v>34.71</v>
      </c>
      <c r="X26" s="30">
        <f t="shared" si="5"/>
        <v>115.69</v>
      </c>
      <c r="Y26" s="203">
        <f t="shared" si="6"/>
        <v>3255.02</v>
      </c>
      <c r="Z26" s="203">
        <f t="shared" si="7"/>
        <v>1627.51</v>
      </c>
      <c r="AA26" s="203">
        <f t="shared" si="8"/>
        <v>450</v>
      </c>
      <c r="AB26" s="202"/>
    </row>
    <row r="27" spans="2:28">
      <c r="I27" s="767" t="s">
        <v>162</v>
      </c>
      <c r="J27" s="768"/>
      <c r="K27" s="182">
        <v>1718.92</v>
      </c>
      <c r="L27" s="8">
        <v>34.71</v>
      </c>
      <c r="M27" s="8">
        <v>115.69</v>
      </c>
      <c r="N27" s="204">
        <f t="shared" si="0"/>
        <v>3437.84</v>
      </c>
      <c r="O27" s="204">
        <f t="shared" si="2"/>
        <v>1718.92</v>
      </c>
      <c r="P27" s="204">
        <v>450</v>
      </c>
      <c r="Q27" s="202"/>
      <c r="T27" s="767" t="s">
        <v>162</v>
      </c>
      <c r="U27" s="768"/>
      <c r="V27" s="182">
        <f t="shared" si="3"/>
        <v>1747.25</v>
      </c>
      <c r="W27" s="213">
        <f t="shared" si="4"/>
        <v>34.71</v>
      </c>
      <c r="X27" s="8">
        <f t="shared" si="5"/>
        <v>115.69</v>
      </c>
      <c r="Y27" s="204">
        <f t="shared" si="6"/>
        <v>3494.5</v>
      </c>
      <c r="Z27" s="204">
        <f t="shared" si="7"/>
        <v>1747.25</v>
      </c>
      <c r="AA27" s="204">
        <f t="shared" si="8"/>
        <v>450</v>
      </c>
      <c r="AB27" s="202"/>
    </row>
    <row r="28" spans="2:28">
      <c r="I28" s="774" t="s">
        <v>163</v>
      </c>
      <c r="J28" s="775"/>
      <c r="K28" s="191">
        <v>1970.08</v>
      </c>
      <c r="L28" s="30">
        <v>34.71</v>
      </c>
      <c r="M28" s="30">
        <v>115.69</v>
      </c>
      <c r="N28" s="203">
        <f t="shared" si="0"/>
        <v>3940.16</v>
      </c>
      <c r="O28" s="203">
        <f t="shared" si="2"/>
        <v>1970.08</v>
      </c>
      <c r="P28" s="203">
        <v>450</v>
      </c>
      <c r="Q28" s="202"/>
      <c r="T28" s="774" t="s">
        <v>163</v>
      </c>
      <c r="U28" s="775"/>
      <c r="V28" s="191">
        <f t="shared" si="3"/>
        <v>1998.41</v>
      </c>
      <c r="W28" s="212">
        <f t="shared" si="4"/>
        <v>34.71</v>
      </c>
      <c r="X28" s="30">
        <f t="shared" si="5"/>
        <v>115.69</v>
      </c>
      <c r="Y28" s="203">
        <f t="shared" si="6"/>
        <v>3996.82</v>
      </c>
      <c r="Z28" s="203">
        <f t="shared" si="7"/>
        <v>1998.41</v>
      </c>
      <c r="AA28" s="203">
        <f t="shared" si="8"/>
        <v>450</v>
      </c>
      <c r="AB28" s="202"/>
    </row>
    <row r="29" spans="2:28">
      <c r="B29" s="771" t="s">
        <v>164</v>
      </c>
      <c r="C29" s="771"/>
      <c r="D29" s="771"/>
      <c r="E29" s="771"/>
      <c r="F29" s="771"/>
      <c r="I29" s="9"/>
      <c r="J29" s="9"/>
      <c r="K29" s="205"/>
      <c r="L29" s="8"/>
      <c r="M29" s="8"/>
      <c r="N29" s="204"/>
      <c r="O29" s="204"/>
      <c r="P29" s="204"/>
      <c r="Q29" s="202"/>
      <c r="AB29" s="202"/>
    </row>
    <row r="30" spans="2:28">
      <c r="B30" s="779">
        <v>2022</v>
      </c>
      <c r="C30" s="779"/>
      <c r="D30" s="779"/>
      <c r="E30" s="779"/>
      <c r="F30" s="779"/>
      <c r="J30" s="12"/>
      <c r="AB30" s="202"/>
    </row>
    <row r="31" spans="2:28" ht="12" customHeight="1" outlineLevel="1">
      <c r="B31" s="193" t="s">
        <v>165</v>
      </c>
      <c r="C31" s="193"/>
      <c r="D31" s="193" t="s">
        <v>166</v>
      </c>
      <c r="E31" s="193" t="s">
        <v>167</v>
      </c>
      <c r="F31" s="193" t="s">
        <v>168</v>
      </c>
      <c r="I31" s="198"/>
      <c r="J31" s="198"/>
      <c r="N31" s="200"/>
      <c r="O31" s="200"/>
      <c r="P31" s="200"/>
      <c r="Q31" s="200"/>
    </row>
    <row r="32" spans="2:28" ht="13.5" customHeight="1">
      <c r="B32" s="184" t="s">
        <v>169</v>
      </c>
      <c r="C32" s="184"/>
      <c r="D32" s="194">
        <v>25.32</v>
      </c>
      <c r="E32" s="194">
        <v>27.42</v>
      </c>
      <c r="F32" s="194">
        <v>34.950000000000003</v>
      </c>
      <c r="I32" s="772" t="s">
        <v>170</v>
      </c>
      <c r="J32" s="772"/>
      <c r="K32" s="772"/>
      <c r="L32" s="772"/>
      <c r="M32" s="772"/>
      <c r="N32" s="772"/>
      <c r="O32" s="772"/>
      <c r="P32" s="772"/>
      <c r="Q32" s="772"/>
      <c r="R32" s="214"/>
      <c r="T32" s="499" t="s">
        <v>1042</v>
      </c>
      <c r="U32" s="499"/>
      <c r="V32" s="499"/>
      <c r="W32" s="499"/>
      <c r="X32" s="500">
        <f>('A.1_Tabla Costes Subrogación'!I9*'A.1_Tabla Costes Subrogación'!I4+'A.1_Tabla Costes Subrogación'!I9*'A.1_Tabla Costes Subrogación'!K4+'A.1_Tabla Costes Subrogación'!I9+'A.1_Tabla Costes Subrogación'!M9+'A.1_Tabla Costes Subrogación'!R9*'A.1_Tabla Costes Subrogación'!R4+'A.1_Tabla Costes Subrogación'!S9*'A.1_Tabla Costes Subrogación'!S4)*1.346</f>
        <v>27067.5216</v>
      </c>
    </row>
    <row r="33" spans="2:20" ht="13.5" customHeight="1">
      <c r="B33" s="12" t="s">
        <v>171</v>
      </c>
      <c r="D33" s="195">
        <v>70.180000000000007</v>
      </c>
      <c r="E33" s="195">
        <v>75.790000000000006</v>
      </c>
      <c r="F33" s="195">
        <v>96.14</v>
      </c>
      <c r="I33" s="198"/>
      <c r="J33" s="198"/>
      <c r="M33" s="199"/>
      <c r="N33" s="200"/>
      <c r="O33" s="200"/>
      <c r="P33" s="200"/>
    </row>
    <row r="34" spans="2:20" ht="13.5" customHeight="1">
      <c r="B34" s="184" t="s">
        <v>172</v>
      </c>
      <c r="C34" s="184"/>
      <c r="D34" s="194">
        <v>122.83</v>
      </c>
      <c r="E34" s="194">
        <v>132.56</v>
      </c>
      <c r="F34" s="194">
        <v>168.24</v>
      </c>
      <c r="I34" s="198"/>
      <c r="J34" s="198"/>
      <c r="N34" s="201">
        <v>2</v>
      </c>
      <c r="O34" s="202"/>
      <c r="P34" s="200"/>
      <c r="Q34" s="202"/>
    </row>
    <row r="35" spans="2:20" ht="13.5" customHeight="1">
      <c r="B35" s="12" t="s">
        <v>173</v>
      </c>
      <c r="D35" s="195">
        <v>175.53</v>
      </c>
      <c r="E35" s="195">
        <v>189.36</v>
      </c>
      <c r="F35" s="195">
        <v>240.33</v>
      </c>
      <c r="I35" s="773" t="s">
        <v>139</v>
      </c>
      <c r="J35" s="773"/>
      <c r="K35" s="247" t="s">
        <v>140</v>
      </c>
      <c r="L35" s="248" t="s">
        <v>141</v>
      </c>
      <c r="M35" s="248" t="s">
        <v>142</v>
      </c>
      <c r="N35" s="248" t="s">
        <v>143</v>
      </c>
      <c r="O35" s="248" t="s">
        <v>144</v>
      </c>
      <c r="P35" s="248" t="s">
        <v>145</v>
      </c>
      <c r="Q35" s="202"/>
      <c r="T35" s="215"/>
    </row>
    <row r="36" spans="2:20" ht="13.5" customHeight="1">
      <c r="B36" s="184" t="s">
        <v>174</v>
      </c>
      <c r="C36" s="184"/>
      <c r="D36" s="194">
        <v>219.94</v>
      </c>
      <c r="E36" s="194">
        <v>238.04</v>
      </c>
      <c r="F36" s="194">
        <v>302.73</v>
      </c>
      <c r="I36" s="774" t="s">
        <v>138</v>
      </c>
      <c r="J36" s="775"/>
      <c r="K36" s="179">
        <v>933.34</v>
      </c>
      <c r="L36" s="30">
        <v>34.71</v>
      </c>
      <c r="M36" s="30">
        <v>115.69</v>
      </c>
      <c r="N36" s="203">
        <f t="shared" ref="N36:N56" si="9">K36*$N$6</f>
        <v>1866.68</v>
      </c>
      <c r="O36" s="203">
        <f t="shared" ref="O36:O56" si="10">K36</f>
        <v>933.34</v>
      </c>
      <c r="P36" s="203">
        <v>450</v>
      </c>
      <c r="Q36" s="202"/>
    </row>
    <row r="37" spans="2:20" ht="14.25" customHeight="1">
      <c r="B37" s="12" t="s">
        <v>175</v>
      </c>
      <c r="D37" s="195">
        <v>264.41000000000003</v>
      </c>
      <c r="E37" s="195">
        <v>294.08999999999997</v>
      </c>
      <c r="F37" s="195">
        <v>364.3</v>
      </c>
      <c r="I37" s="767" t="s">
        <v>125</v>
      </c>
      <c r="J37" s="768"/>
      <c r="K37" s="182">
        <v>1125.8900000000001</v>
      </c>
      <c r="L37" s="8">
        <v>34.71</v>
      </c>
      <c r="M37" s="8">
        <v>115.69</v>
      </c>
      <c r="N37" s="204">
        <f t="shared" si="9"/>
        <v>2251.7800000000002</v>
      </c>
      <c r="O37" s="204">
        <f t="shared" si="10"/>
        <v>1125.8900000000001</v>
      </c>
      <c r="P37" s="204">
        <v>450</v>
      </c>
      <c r="Q37" s="202"/>
    </row>
    <row r="38" spans="2:20">
      <c r="B38" s="184" t="s">
        <v>176</v>
      </c>
      <c r="C38" s="184"/>
      <c r="D38" s="194">
        <v>280.79000000000002</v>
      </c>
      <c r="E38" s="194">
        <v>302.98</v>
      </c>
      <c r="F38" s="194">
        <v>384.49</v>
      </c>
      <c r="I38" s="774" t="s">
        <v>126</v>
      </c>
      <c r="J38" s="775"/>
      <c r="K38" s="185">
        <v>1190.32</v>
      </c>
      <c r="L38" s="30">
        <v>34.71</v>
      </c>
      <c r="M38" s="30">
        <v>115.69</v>
      </c>
      <c r="N38" s="203">
        <f t="shared" si="9"/>
        <v>2380.64</v>
      </c>
      <c r="O38" s="203">
        <f t="shared" si="10"/>
        <v>1190.32</v>
      </c>
      <c r="P38" s="203">
        <v>450</v>
      </c>
      <c r="Q38" s="202"/>
    </row>
    <row r="39" spans="2:20">
      <c r="B39" s="12" t="s">
        <v>177</v>
      </c>
      <c r="D39" s="195">
        <v>343.31</v>
      </c>
      <c r="E39" s="195">
        <v>370.24</v>
      </c>
      <c r="F39" s="195">
        <v>442.03</v>
      </c>
      <c r="I39" s="767" t="s">
        <v>146</v>
      </c>
      <c r="J39" s="768"/>
      <c r="K39" s="182">
        <v>1190.3399999999999</v>
      </c>
      <c r="L39" s="8">
        <v>34.71</v>
      </c>
      <c r="M39" s="8">
        <v>115.69</v>
      </c>
      <c r="N39" s="204">
        <f t="shared" si="9"/>
        <v>2380.6799999999998</v>
      </c>
      <c r="O39" s="204">
        <f t="shared" si="10"/>
        <v>1190.3399999999999</v>
      </c>
      <c r="P39" s="204">
        <v>450</v>
      </c>
      <c r="Q39" s="202"/>
    </row>
    <row r="40" spans="2:20">
      <c r="B40" s="184" t="s">
        <v>178</v>
      </c>
      <c r="C40" s="184"/>
      <c r="D40" s="194">
        <v>385.86</v>
      </c>
      <c r="E40" s="194">
        <v>416.19</v>
      </c>
      <c r="F40" s="194">
        <v>532.79999999999995</v>
      </c>
      <c r="I40" s="774" t="s">
        <v>147</v>
      </c>
      <c r="J40" s="775"/>
      <c r="K40" s="185">
        <v>1234</v>
      </c>
      <c r="L40" s="30">
        <v>34.71</v>
      </c>
      <c r="M40" s="30">
        <v>115.69</v>
      </c>
      <c r="N40" s="203">
        <f t="shared" si="9"/>
        <v>2468</v>
      </c>
      <c r="O40" s="203">
        <f t="shared" si="10"/>
        <v>1234</v>
      </c>
      <c r="P40" s="203">
        <v>450</v>
      </c>
      <c r="Q40" s="202"/>
    </row>
    <row r="41" spans="2:20">
      <c r="B41" s="12" t="s">
        <v>179</v>
      </c>
      <c r="D41" s="195">
        <v>421.15</v>
      </c>
      <c r="E41" s="195">
        <v>454.5</v>
      </c>
      <c r="F41" s="195">
        <v>576.83000000000004</v>
      </c>
      <c r="I41" s="767" t="s">
        <v>127</v>
      </c>
      <c r="J41" s="768"/>
      <c r="K41" s="182">
        <v>1240.55</v>
      </c>
      <c r="L41" s="8">
        <v>34.71</v>
      </c>
      <c r="M41" s="8">
        <v>115.69</v>
      </c>
      <c r="N41" s="204">
        <f t="shared" si="9"/>
        <v>2481.1</v>
      </c>
      <c r="O41" s="204">
        <f t="shared" si="10"/>
        <v>1240.55</v>
      </c>
      <c r="P41" s="204">
        <v>450</v>
      </c>
      <c r="Q41" s="202"/>
    </row>
    <row r="42" spans="2:20">
      <c r="I42" s="774" t="s">
        <v>148</v>
      </c>
      <c r="J42" s="775"/>
      <c r="K42" s="185">
        <v>1304.98</v>
      </c>
      <c r="L42" s="30">
        <v>34.71</v>
      </c>
      <c r="M42" s="30">
        <v>115.69</v>
      </c>
      <c r="N42" s="203">
        <f t="shared" si="9"/>
        <v>2609.96</v>
      </c>
      <c r="O42" s="203">
        <f t="shared" si="10"/>
        <v>1304.98</v>
      </c>
      <c r="P42" s="203">
        <v>450</v>
      </c>
      <c r="Q42" s="202"/>
    </row>
    <row r="43" spans="2:20">
      <c r="I43" s="767" t="s">
        <v>149</v>
      </c>
      <c r="J43" s="768"/>
      <c r="K43" s="182">
        <v>1304.98</v>
      </c>
      <c r="L43" s="8">
        <v>34.71</v>
      </c>
      <c r="M43" s="8">
        <v>115.69</v>
      </c>
      <c r="N43" s="204">
        <f t="shared" si="9"/>
        <v>2609.96</v>
      </c>
      <c r="O43" s="204">
        <f t="shared" si="10"/>
        <v>1304.98</v>
      </c>
      <c r="P43" s="204">
        <v>450</v>
      </c>
      <c r="Q43" s="202"/>
    </row>
    <row r="44" spans="2:20">
      <c r="B44" s="779">
        <v>2023</v>
      </c>
      <c r="C44" s="779"/>
      <c r="D44" s="779"/>
      <c r="E44" s="779"/>
      <c r="F44" s="779"/>
      <c r="I44" s="774" t="s">
        <v>150</v>
      </c>
      <c r="J44" s="775"/>
      <c r="K44" s="185">
        <v>1363.97</v>
      </c>
      <c r="L44" s="30">
        <v>34.71</v>
      </c>
      <c r="M44" s="30">
        <v>115.69</v>
      </c>
      <c r="N44" s="203">
        <f t="shared" si="9"/>
        <v>2727.94</v>
      </c>
      <c r="O44" s="203">
        <f t="shared" si="10"/>
        <v>1363.97</v>
      </c>
      <c r="P44" s="203">
        <v>450</v>
      </c>
      <c r="Q44" s="202"/>
    </row>
    <row r="45" spans="2:20">
      <c r="B45" s="193" t="s">
        <v>165</v>
      </c>
      <c r="C45" s="193"/>
      <c r="D45" s="193" t="s">
        <v>166</v>
      </c>
      <c r="E45" s="193" t="s">
        <v>167</v>
      </c>
      <c r="F45" s="193" t="s">
        <v>168</v>
      </c>
      <c r="I45" s="767" t="s">
        <v>151</v>
      </c>
      <c r="J45" s="768"/>
      <c r="K45" s="188">
        <v>1363.97</v>
      </c>
      <c r="L45" s="8">
        <v>34.71</v>
      </c>
      <c r="M45" s="8">
        <v>115.69</v>
      </c>
      <c r="N45" s="204">
        <f t="shared" si="9"/>
        <v>2727.94</v>
      </c>
      <c r="O45" s="204">
        <f t="shared" si="10"/>
        <v>1363.97</v>
      </c>
      <c r="P45" s="204">
        <v>450</v>
      </c>
      <c r="Q45" s="202"/>
    </row>
    <row r="46" spans="2:20">
      <c r="B46" s="184" t="s">
        <v>169</v>
      </c>
      <c r="C46" s="184"/>
      <c r="D46" s="194">
        <v>25.32</v>
      </c>
      <c r="E46" s="194">
        <v>27.42</v>
      </c>
      <c r="F46" s="194">
        <v>34.950000000000003</v>
      </c>
      <c r="I46" s="774" t="s">
        <v>153</v>
      </c>
      <c r="J46" s="775"/>
      <c r="K46" s="179">
        <v>933.34</v>
      </c>
      <c r="L46" s="30">
        <v>34.71</v>
      </c>
      <c r="M46" s="30">
        <v>115.69</v>
      </c>
      <c r="N46" s="203">
        <f t="shared" si="9"/>
        <v>1866.68</v>
      </c>
      <c r="O46" s="203">
        <f t="shared" si="10"/>
        <v>933.34</v>
      </c>
      <c r="P46" s="203">
        <v>450</v>
      </c>
      <c r="Q46" s="202"/>
    </row>
    <row r="47" spans="2:20">
      <c r="B47" s="12" t="s">
        <v>171</v>
      </c>
      <c r="D47" s="195">
        <v>70.180000000000007</v>
      </c>
      <c r="E47" s="195">
        <v>75.790000000000006</v>
      </c>
      <c r="F47" s="195">
        <v>96.14</v>
      </c>
      <c r="I47" s="767" t="s">
        <v>154</v>
      </c>
      <c r="J47" s="768"/>
      <c r="K47" s="182">
        <v>933.34</v>
      </c>
      <c r="L47" s="8">
        <v>34.71</v>
      </c>
      <c r="M47" s="8">
        <v>115.69</v>
      </c>
      <c r="N47" s="204">
        <f t="shared" si="9"/>
        <v>1866.68</v>
      </c>
      <c r="O47" s="204">
        <f t="shared" si="10"/>
        <v>933.34</v>
      </c>
      <c r="P47" s="204">
        <v>450</v>
      </c>
      <c r="Q47" s="202"/>
    </row>
    <row r="48" spans="2:20">
      <c r="B48" s="184" t="s">
        <v>172</v>
      </c>
      <c r="C48" s="184"/>
      <c r="D48" s="194">
        <v>122.83</v>
      </c>
      <c r="E48" s="194">
        <v>132.56</v>
      </c>
      <c r="F48" s="194">
        <v>168.24</v>
      </c>
      <c r="I48" s="774" t="s">
        <v>155</v>
      </c>
      <c r="J48" s="775"/>
      <c r="K48" s="185">
        <v>1244.93</v>
      </c>
      <c r="L48" s="30">
        <v>34.71</v>
      </c>
      <c r="M48" s="30">
        <v>115.69</v>
      </c>
      <c r="N48" s="203">
        <f t="shared" si="9"/>
        <v>2489.86</v>
      </c>
      <c r="O48" s="203">
        <f t="shared" si="10"/>
        <v>1244.93</v>
      </c>
      <c r="P48" s="203">
        <v>450</v>
      </c>
      <c r="Q48" s="202"/>
    </row>
    <row r="49" spans="2:18">
      <c r="B49" s="12" t="s">
        <v>173</v>
      </c>
      <c r="D49" s="195">
        <v>175.53</v>
      </c>
      <c r="E49" s="195">
        <v>189.36</v>
      </c>
      <c r="F49" s="195">
        <v>240.33</v>
      </c>
      <c r="I49" s="767" t="s">
        <v>131</v>
      </c>
      <c r="J49" s="768"/>
      <c r="K49" s="182">
        <v>1299.8499999999999</v>
      </c>
      <c r="L49" s="8">
        <v>34.71</v>
      </c>
      <c r="M49" s="8">
        <v>115.69</v>
      </c>
      <c r="N49" s="204">
        <f t="shared" si="9"/>
        <v>2599.6999999999998</v>
      </c>
      <c r="O49" s="204">
        <f t="shared" si="10"/>
        <v>1299.8499999999999</v>
      </c>
      <c r="P49" s="204">
        <v>450</v>
      </c>
      <c r="Q49" s="202"/>
    </row>
    <row r="50" spans="2:18">
      <c r="B50" s="184" t="s">
        <v>174</v>
      </c>
      <c r="C50" s="184"/>
      <c r="D50" s="194">
        <v>219.94</v>
      </c>
      <c r="E50" s="194">
        <v>238.04</v>
      </c>
      <c r="F50" s="194">
        <v>302.73</v>
      </c>
      <c r="I50" s="774" t="s">
        <v>156</v>
      </c>
      <c r="J50" s="775"/>
      <c r="K50" s="185">
        <v>1398.9</v>
      </c>
      <c r="L50" s="30">
        <v>34.71</v>
      </c>
      <c r="M50" s="30">
        <v>115.69</v>
      </c>
      <c r="N50" s="203">
        <f t="shared" si="9"/>
        <v>2797.8</v>
      </c>
      <c r="O50" s="203">
        <f t="shared" si="10"/>
        <v>1398.9</v>
      </c>
      <c r="P50" s="203">
        <v>450</v>
      </c>
      <c r="Q50" s="202"/>
    </row>
    <row r="51" spans="2:18">
      <c r="B51" s="12" t="s">
        <v>175</v>
      </c>
      <c r="D51" s="195">
        <v>264.41000000000003</v>
      </c>
      <c r="E51" s="195">
        <v>294.08999999999997</v>
      </c>
      <c r="F51" s="195">
        <v>364.3</v>
      </c>
      <c r="I51" s="767" t="s">
        <v>157</v>
      </c>
      <c r="J51" s="768"/>
      <c r="K51" s="182">
        <v>1487.35</v>
      </c>
      <c r="L51" s="8">
        <v>34.71</v>
      </c>
      <c r="M51" s="8">
        <v>115.69</v>
      </c>
      <c r="N51" s="204">
        <f t="shared" si="9"/>
        <v>2974.7</v>
      </c>
      <c r="O51" s="204">
        <f t="shared" si="10"/>
        <v>1487.35</v>
      </c>
      <c r="P51" s="204">
        <v>450</v>
      </c>
      <c r="Q51" s="202"/>
    </row>
    <row r="52" spans="2:18">
      <c r="B52" s="184" t="s">
        <v>176</v>
      </c>
      <c r="C52" s="184"/>
      <c r="D52" s="194">
        <v>280.79000000000002</v>
      </c>
      <c r="E52" s="194">
        <v>302.98</v>
      </c>
      <c r="F52" s="194">
        <v>384.49</v>
      </c>
      <c r="I52" s="774" t="s">
        <v>159</v>
      </c>
      <c r="J52" s="775"/>
      <c r="K52" s="179">
        <v>1670.45</v>
      </c>
      <c r="L52" s="30">
        <v>34.71</v>
      </c>
      <c r="M52" s="30">
        <v>115.69</v>
      </c>
      <c r="N52" s="203">
        <f t="shared" si="9"/>
        <v>3340.9</v>
      </c>
      <c r="O52" s="203">
        <f t="shared" si="10"/>
        <v>1670.45</v>
      </c>
      <c r="P52" s="203">
        <v>450</v>
      </c>
      <c r="Q52" s="202"/>
    </row>
    <row r="53" spans="2:18">
      <c r="B53" s="12" t="s">
        <v>177</v>
      </c>
      <c r="D53" s="195">
        <v>343.31</v>
      </c>
      <c r="E53" s="195">
        <v>370.24</v>
      </c>
      <c r="F53" s="195">
        <v>442.03</v>
      </c>
      <c r="I53" s="767" t="s">
        <v>160</v>
      </c>
      <c r="J53" s="768"/>
      <c r="K53" s="182">
        <v>1496.13</v>
      </c>
      <c r="L53" s="8">
        <v>34.71</v>
      </c>
      <c r="M53" s="8">
        <v>115.69</v>
      </c>
      <c r="N53" s="204">
        <f t="shared" si="9"/>
        <v>2992.26</v>
      </c>
      <c r="O53" s="204">
        <f t="shared" si="10"/>
        <v>1496.13</v>
      </c>
      <c r="P53" s="204">
        <v>450</v>
      </c>
      <c r="Q53" s="202"/>
    </row>
    <row r="54" spans="2:18">
      <c r="B54" s="184" t="s">
        <v>178</v>
      </c>
      <c r="C54" s="184"/>
      <c r="D54" s="194">
        <v>385.86</v>
      </c>
      <c r="E54" s="194">
        <v>416.19</v>
      </c>
      <c r="F54" s="194">
        <v>532.79999999999995</v>
      </c>
      <c r="I54" s="774" t="s">
        <v>161</v>
      </c>
      <c r="J54" s="775"/>
      <c r="K54" s="185">
        <v>1627.51</v>
      </c>
      <c r="L54" s="30">
        <v>34.71</v>
      </c>
      <c r="M54" s="30">
        <v>115.69</v>
      </c>
      <c r="N54" s="203">
        <f t="shared" si="9"/>
        <v>3255.02</v>
      </c>
      <c r="O54" s="203">
        <f t="shared" si="10"/>
        <v>1627.51</v>
      </c>
      <c r="P54" s="203">
        <v>450</v>
      </c>
      <c r="Q54" s="202"/>
    </row>
    <row r="55" spans="2:18">
      <c r="B55" s="12" t="s">
        <v>179</v>
      </c>
      <c r="D55" s="195">
        <v>421.15</v>
      </c>
      <c r="E55" s="195">
        <v>454.5</v>
      </c>
      <c r="F55" s="195">
        <v>576.83000000000004</v>
      </c>
      <c r="I55" s="767" t="s">
        <v>162</v>
      </c>
      <c r="J55" s="768"/>
      <c r="K55" s="182">
        <v>1747.25</v>
      </c>
      <c r="L55" s="8">
        <v>34.71</v>
      </c>
      <c r="M55" s="8">
        <v>115.69</v>
      </c>
      <c r="N55" s="204">
        <f t="shared" si="9"/>
        <v>3494.5</v>
      </c>
      <c r="O55" s="204">
        <f t="shared" si="10"/>
        <v>1747.25</v>
      </c>
      <c r="P55" s="204">
        <v>450</v>
      </c>
      <c r="Q55" s="202"/>
    </row>
    <row r="56" spans="2:18">
      <c r="I56" s="774" t="s">
        <v>163</v>
      </c>
      <c r="J56" s="775"/>
      <c r="K56" s="191">
        <v>1998.41</v>
      </c>
      <c r="L56" s="30">
        <v>34.71</v>
      </c>
      <c r="M56" s="30">
        <v>115.69</v>
      </c>
      <c r="N56" s="203">
        <f t="shared" si="9"/>
        <v>3996.82</v>
      </c>
      <c r="O56" s="203">
        <f t="shared" si="10"/>
        <v>1998.41</v>
      </c>
      <c r="P56" s="203">
        <v>450</v>
      </c>
      <c r="Q56" s="202"/>
    </row>
    <row r="57" spans="2:18">
      <c r="N57" s="200"/>
      <c r="P57" s="206"/>
      <c r="Q57" s="202"/>
    </row>
    <row r="58" spans="2:18">
      <c r="B58" s="779">
        <v>2024</v>
      </c>
      <c r="C58" s="779"/>
      <c r="D58" s="779"/>
      <c r="E58" s="779"/>
      <c r="F58" s="779"/>
    </row>
    <row r="59" spans="2:18">
      <c r="B59" s="193" t="s">
        <v>165</v>
      </c>
      <c r="C59" s="193"/>
      <c r="D59" s="193" t="s">
        <v>166</v>
      </c>
      <c r="E59" s="193" t="s">
        <v>167</v>
      </c>
      <c r="F59" s="193" t="s">
        <v>168</v>
      </c>
      <c r="I59" s="772" t="s">
        <v>180</v>
      </c>
      <c r="J59" s="772"/>
      <c r="K59" s="772"/>
      <c r="L59" s="772"/>
      <c r="M59" s="772"/>
      <c r="N59" s="772"/>
      <c r="O59" s="772"/>
      <c r="P59" s="772"/>
      <c r="Q59" s="772"/>
      <c r="R59" s="214"/>
    </row>
    <row r="60" spans="2:18" ht="12.75" customHeight="1">
      <c r="B60" s="184" t="s">
        <v>169</v>
      </c>
      <c r="C60" s="184"/>
      <c r="D60" s="194">
        <v>25.32</v>
      </c>
      <c r="E60" s="194">
        <v>27.42</v>
      </c>
      <c r="F60" s="194">
        <v>34.950000000000003</v>
      </c>
      <c r="I60" s="198"/>
      <c r="J60" s="198"/>
      <c r="M60" s="199"/>
      <c r="N60" s="200"/>
      <c r="O60" s="200"/>
    </row>
    <row r="61" spans="2:18">
      <c r="B61" s="12" t="s">
        <v>171</v>
      </c>
      <c r="D61" s="195">
        <v>70.180000000000007</v>
      </c>
      <c r="E61" s="195">
        <v>75.790000000000006</v>
      </c>
      <c r="F61" s="195">
        <v>96.14</v>
      </c>
      <c r="I61" s="207" t="s">
        <v>181</v>
      </c>
      <c r="J61" s="208">
        <v>0.02</v>
      </c>
      <c r="K61" s="107"/>
      <c r="L61" s="107"/>
      <c r="M61" s="209"/>
      <c r="N61" s="210"/>
      <c r="O61" s="211"/>
      <c r="P61" s="107"/>
      <c r="Q61" s="216"/>
      <c r="R61" s="184"/>
    </row>
    <row r="62" spans="2:18">
      <c r="B62" s="184" t="s">
        <v>172</v>
      </c>
      <c r="C62" s="184"/>
      <c r="D62" s="194">
        <v>122.83</v>
      </c>
      <c r="E62" s="194">
        <v>132.56</v>
      </c>
      <c r="F62" s="194">
        <v>168.24</v>
      </c>
      <c r="I62" s="198"/>
      <c r="J62" s="198"/>
      <c r="N62" s="201">
        <v>2</v>
      </c>
    </row>
    <row r="63" spans="2:18">
      <c r="B63" s="12" t="s">
        <v>173</v>
      </c>
      <c r="D63" s="195">
        <v>175.53</v>
      </c>
      <c r="E63" s="195">
        <v>189.36</v>
      </c>
      <c r="F63" s="195">
        <v>240.33</v>
      </c>
      <c r="I63" s="773" t="s">
        <v>139</v>
      </c>
      <c r="J63" s="773"/>
      <c r="K63" s="247" t="s">
        <v>140</v>
      </c>
      <c r="L63" s="248" t="s">
        <v>141</v>
      </c>
      <c r="M63" s="248" t="s">
        <v>142</v>
      </c>
      <c r="N63" s="248" t="s">
        <v>143</v>
      </c>
      <c r="O63" s="248" t="s">
        <v>144</v>
      </c>
      <c r="P63" s="248" t="s">
        <v>145</v>
      </c>
    </row>
    <row r="64" spans="2:18">
      <c r="B64" s="184" t="s">
        <v>174</v>
      </c>
      <c r="C64" s="184"/>
      <c r="D64" s="194">
        <v>219.94</v>
      </c>
      <c r="E64" s="194">
        <v>238.04</v>
      </c>
      <c r="F64" s="194">
        <v>302.73</v>
      </c>
      <c r="I64" s="774" t="s">
        <v>138</v>
      </c>
      <c r="J64" s="775"/>
      <c r="K64" s="179">
        <f>1*(K36*$J$61)+K36</f>
        <v>952.0068</v>
      </c>
      <c r="L64" s="212">
        <f>ROUND((1*(L36*$J$61)+L36),2)</f>
        <v>35.4</v>
      </c>
      <c r="M64" s="212">
        <f>ROUND((1*(M36*$J$61)+M36),2)</f>
        <v>118</v>
      </c>
      <c r="N64" s="203">
        <f t="shared" ref="N64:N84" si="11">K64*$N$6</f>
        <v>1904.0136</v>
      </c>
      <c r="O64" s="203">
        <f t="shared" ref="O64:O84" si="12">K64</f>
        <v>952.0068</v>
      </c>
      <c r="P64" s="212">
        <f>ROUND((1*(P36*$J$61)+P36),2)</f>
        <v>459</v>
      </c>
    </row>
    <row r="65" spans="2:16">
      <c r="B65" s="12" t="s">
        <v>175</v>
      </c>
      <c r="D65" s="195">
        <v>264.41000000000003</v>
      </c>
      <c r="E65" s="195">
        <v>294.08999999999997</v>
      </c>
      <c r="F65" s="195">
        <v>364.3</v>
      </c>
      <c r="I65" s="767" t="s">
        <v>125</v>
      </c>
      <c r="J65" s="768"/>
      <c r="K65" s="182">
        <f t="shared" ref="K65:K84" si="13">1*(K37*$J$61)+K37</f>
        <v>1148.4078000000002</v>
      </c>
      <c r="L65" s="213">
        <f t="shared" ref="L65:M84" si="14">ROUND((1*(L37*$J$61)+L37),2)</f>
        <v>35.4</v>
      </c>
      <c r="M65" s="8">
        <f t="shared" si="14"/>
        <v>118</v>
      </c>
      <c r="N65" s="204">
        <f t="shared" si="11"/>
        <v>2296.8156000000004</v>
      </c>
      <c r="O65" s="204">
        <f t="shared" si="12"/>
        <v>1148.4078000000002</v>
      </c>
      <c r="P65" s="204">
        <f t="shared" ref="P65:P84" si="15">ROUND((1*(P37*$J$61)+P37),2)</f>
        <v>459</v>
      </c>
    </row>
    <row r="66" spans="2:16">
      <c r="B66" s="184" t="s">
        <v>176</v>
      </c>
      <c r="C66" s="184"/>
      <c r="D66" s="194">
        <v>280.79000000000002</v>
      </c>
      <c r="E66" s="194">
        <v>302.98</v>
      </c>
      <c r="F66" s="194">
        <v>384.49</v>
      </c>
      <c r="I66" s="774" t="s">
        <v>126</v>
      </c>
      <c r="J66" s="775"/>
      <c r="K66" s="185">
        <f t="shared" si="13"/>
        <v>1214.1263999999999</v>
      </c>
      <c r="L66" s="212">
        <f t="shared" si="14"/>
        <v>35.4</v>
      </c>
      <c r="M66" s="30">
        <f t="shared" si="14"/>
        <v>118</v>
      </c>
      <c r="N66" s="203">
        <f t="shared" si="11"/>
        <v>2428.2527999999998</v>
      </c>
      <c r="O66" s="203">
        <f t="shared" si="12"/>
        <v>1214.1263999999999</v>
      </c>
      <c r="P66" s="203">
        <f t="shared" si="15"/>
        <v>459</v>
      </c>
    </row>
    <row r="67" spans="2:16">
      <c r="B67" s="12" t="s">
        <v>177</v>
      </c>
      <c r="D67" s="195">
        <v>343.31</v>
      </c>
      <c r="E67" s="195">
        <v>370.24</v>
      </c>
      <c r="F67" s="195">
        <v>442.03</v>
      </c>
      <c r="I67" s="767" t="s">
        <v>146</v>
      </c>
      <c r="J67" s="768"/>
      <c r="K67" s="182">
        <f t="shared" si="13"/>
        <v>1214.1468</v>
      </c>
      <c r="L67" s="213">
        <f t="shared" si="14"/>
        <v>35.4</v>
      </c>
      <c r="M67" s="8">
        <f t="shared" si="14"/>
        <v>118</v>
      </c>
      <c r="N67" s="204">
        <f t="shared" si="11"/>
        <v>2428.2936</v>
      </c>
      <c r="O67" s="204">
        <f t="shared" si="12"/>
        <v>1214.1468</v>
      </c>
      <c r="P67" s="204">
        <f t="shared" si="15"/>
        <v>459</v>
      </c>
    </row>
    <row r="68" spans="2:16">
      <c r="B68" s="184" t="s">
        <v>178</v>
      </c>
      <c r="C68" s="184"/>
      <c r="D68" s="194">
        <v>385.86</v>
      </c>
      <c r="E68" s="194">
        <v>416.19</v>
      </c>
      <c r="F68" s="194">
        <v>532.79999999999995</v>
      </c>
      <c r="I68" s="774" t="s">
        <v>147</v>
      </c>
      <c r="J68" s="775"/>
      <c r="K68" s="185">
        <f t="shared" si="13"/>
        <v>1258.68</v>
      </c>
      <c r="L68" s="212">
        <f t="shared" si="14"/>
        <v>35.4</v>
      </c>
      <c r="M68" s="30">
        <f t="shared" si="14"/>
        <v>118</v>
      </c>
      <c r="N68" s="203">
        <f t="shared" si="11"/>
        <v>2517.36</v>
      </c>
      <c r="O68" s="203">
        <f t="shared" si="12"/>
        <v>1258.68</v>
      </c>
      <c r="P68" s="203">
        <f t="shared" si="15"/>
        <v>459</v>
      </c>
    </row>
    <row r="69" spans="2:16">
      <c r="B69" s="12" t="s">
        <v>179</v>
      </c>
      <c r="D69" s="195">
        <v>421.15</v>
      </c>
      <c r="E69" s="195">
        <v>454.5</v>
      </c>
      <c r="F69" s="195">
        <v>576.83000000000004</v>
      </c>
      <c r="I69" s="767" t="s">
        <v>127</v>
      </c>
      <c r="J69" s="768"/>
      <c r="K69" s="182">
        <f t="shared" si="13"/>
        <v>1265.3609999999999</v>
      </c>
      <c r="L69" s="213">
        <f t="shared" si="14"/>
        <v>35.4</v>
      </c>
      <c r="M69" s="8">
        <f t="shared" si="14"/>
        <v>118</v>
      </c>
      <c r="N69" s="204">
        <f t="shared" si="11"/>
        <v>2530.7219999999998</v>
      </c>
      <c r="O69" s="204">
        <f t="shared" si="12"/>
        <v>1265.3609999999999</v>
      </c>
      <c r="P69" s="204">
        <f t="shared" si="15"/>
        <v>459</v>
      </c>
    </row>
    <row r="70" spans="2:16">
      <c r="I70" s="774" t="s">
        <v>148</v>
      </c>
      <c r="J70" s="775"/>
      <c r="K70" s="185">
        <f t="shared" si="13"/>
        <v>1331.0796</v>
      </c>
      <c r="L70" s="212">
        <f t="shared" si="14"/>
        <v>35.4</v>
      </c>
      <c r="M70" s="30">
        <f t="shared" si="14"/>
        <v>118</v>
      </c>
      <c r="N70" s="203">
        <f t="shared" si="11"/>
        <v>2662.1592000000001</v>
      </c>
      <c r="O70" s="203">
        <f t="shared" si="12"/>
        <v>1331.0796</v>
      </c>
      <c r="P70" s="203">
        <f t="shared" si="15"/>
        <v>459</v>
      </c>
    </row>
    <row r="71" spans="2:16">
      <c r="I71" s="767" t="s">
        <v>149</v>
      </c>
      <c r="J71" s="768"/>
      <c r="K71" s="182">
        <f t="shared" si="13"/>
        <v>1331.0796</v>
      </c>
      <c r="L71" s="213">
        <f t="shared" si="14"/>
        <v>35.4</v>
      </c>
      <c r="M71" s="8">
        <f t="shared" si="14"/>
        <v>118</v>
      </c>
      <c r="N71" s="204">
        <f t="shared" si="11"/>
        <v>2662.1592000000001</v>
      </c>
      <c r="O71" s="204">
        <f t="shared" si="12"/>
        <v>1331.0796</v>
      </c>
      <c r="P71" s="204">
        <f t="shared" si="15"/>
        <v>459</v>
      </c>
    </row>
    <row r="72" spans="2:16">
      <c r="I72" s="774" t="s">
        <v>150</v>
      </c>
      <c r="J72" s="775"/>
      <c r="K72" s="185">
        <f t="shared" si="13"/>
        <v>1391.2493999999999</v>
      </c>
      <c r="L72" s="212">
        <f t="shared" si="14"/>
        <v>35.4</v>
      </c>
      <c r="M72" s="30">
        <f t="shared" si="14"/>
        <v>118</v>
      </c>
      <c r="N72" s="203">
        <f t="shared" si="11"/>
        <v>2782.4987999999998</v>
      </c>
      <c r="O72" s="203">
        <f t="shared" si="12"/>
        <v>1391.2493999999999</v>
      </c>
      <c r="P72" s="203">
        <f t="shared" si="15"/>
        <v>459</v>
      </c>
    </row>
    <row r="73" spans="2:16">
      <c r="B73" s="771" t="s">
        <v>182</v>
      </c>
      <c r="C73" s="771"/>
      <c r="D73" s="771"/>
      <c r="E73" s="771"/>
      <c r="F73" s="771"/>
      <c r="I73" s="767" t="s">
        <v>151</v>
      </c>
      <c r="J73" s="768"/>
      <c r="K73" s="188">
        <f t="shared" si="13"/>
        <v>1391.2493999999999</v>
      </c>
      <c r="L73" s="213">
        <f t="shared" si="14"/>
        <v>35.4</v>
      </c>
      <c r="M73" s="8">
        <f t="shared" si="14"/>
        <v>118</v>
      </c>
      <c r="N73" s="204">
        <f t="shared" si="11"/>
        <v>2782.4987999999998</v>
      </c>
      <c r="O73" s="204">
        <f t="shared" si="12"/>
        <v>1391.2493999999999</v>
      </c>
      <c r="P73" s="204">
        <f t="shared" si="15"/>
        <v>459</v>
      </c>
    </row>
    <row r="74" spans="2:16">
      <c r="I74" s="774" t="s">
        <v>153</v>
      </c>
      <c r="J74" s="775"/>
      <c r="K74" s="179">
        <f t="shared" si="13"/>
        <v>952.0068</v>
      </c>
      <c r="L74" s="212">
        <f t="shared" si="14"/>
        <v>35.4</v>
      </c>
      <c r="M74" s="30">
        <f t="shared" si="14"/>
        <v>118</v>
      </c>
      <c r="N74" s="203">
        <f t="shared" si="11"/>
        <v>1904.0136</v>
      </c>
      <c r="O74" s="203">
        <f t="shared" si="12"/>
        <v>952.0068</v>
      </c>
      <c r="P74" s="203">
        <f t="shared" si="15"/>
        <v>459</v>
      </c>
    </row>
    <row r="75" spans="2:16">
      <c r="I75" s="767" t="s">
        <v>154</v>
      </c>
      <c r="J75" s="768"/>
      <c r="K75" s="182">
        <f t="shared" si="13"/>
        <v>952.0068</v>
      </c>
      <c r="L75" s="213">
        <f t="shared" si="14"/>
        <v>35.4</v>
      </c>
      <c r="M75" s="8">
        <f t="shared" si="14"/>
        <v>118</v>
      </c>
      <c r="N75" s="204">
        <f t="shared" si="11"/>
        <v>1904.0136</v>
      </c>
      <c r="O75" s="204">
        <f t="shared" si="12"/>
        <v>952.0068</v>
      </c>
      <c r="P75" s="204">
        <f t="shared" si="15"/>
        <v>459</v>
      </c>
    </row>
    <row r="76" spans="2:16" ht="13.5" customHeight="1">
      <c r="B76" s="779" t="s">
        <v>183</v>
      </c>
      <c r="C76" s="779"/>
      <c r="D76" s="779"/>
      <c r="E76" s="779"/>
      <c r="F76" s="779"/>
      <c r="I76" s="774" t="s">
        <v>155</v>
      </c>
      <c r="J76" s="775"/>
      <c r="K76" s="185">
        <f t="shared" si="13"/>
        <v>1269.8286000000001</v>
      </c>
      <c r="L76" s="212">
        <f t="shared" si="14"/>
        <v>35.4</v>
      </c>
      <c r="M76" s="30">
        <f t="shared" si="14"/>
        <v>118</v>
      </c>
      <c r="N76" s="203">
        <f t="shared" si="11"/>
        <v>2539.6572000000001</v>
      </c>
      <c r="O76" s="203">
        <f t="shared" si="12"/>
        <v>1269.8286000000001</v>
      </c>
      <c r="P76" s="203">
        <f t="shared" si="15"/>
        <v>459</v>
      </c>
    </row>
    <row r="77" spans="2:16">
      <c r="B77" s="184" t="s">
        <v>184</v>
      </c>
      <c r="C77" s="184"/>
      <c r="D77" s="209"/>
      <c r="E77" s="184"/>
      <c r="F77" s="209">
        <v>13.59</v>
      </c>
      <c r="I77" s="767" t="s">
        <v>131</v>
      </c>
      <c r="J77" s="768"/>
      <c r="K77" s="182">
        <f t="shared" si="13"/>
        <v>1325.847</v>
      </c>
      <c r="L77" s="213">
        <f t="shared" si="14"/>
        <v>35.4</v>
      </c>
      <c r="M77" s="8">
        <f t="shared" si="14"/>
        <v>118</v>
      </c>
      <c r="N77" s="204">
        <f t="shared" si="11"/>
        <v>2651.694</v>
      </c>
      <c r="O77" s="204">
        <f t="shared" si="12"/>
        <v>1325.847</v>
      </c>
      <c r="P77" s="204">
        <f t="shared" si="15"/>
        <v>459</v>
      </c>
    </row>
    <row r="78" spans="2:16">
      <c r="B78" s="12" t="s">
        <v>185</v>
      </c>
      <c r="D78" s="199"/>
      <c r="F78" s="199">
        <v>1.81</v>
      </c>
      <c r="I78" s="774" t="s">
        <v>156</v>
      </c>
      <c r="J78" s="775"/>
      <c r="K78" s="185">
        <f t="shared" si="13"/>
        <v>1426.8780000000002</v>
      </c>
      <c r="L78" s="212">
        <f t="shared" si="14"/>
        <v>35.4</v>
      </c>
      <c r="M78" s="30">
        <f t="shared" si="14"/>
        <v>118</v>
      </c>
      <c r="N78" s="203">
        <f t="shared" si="11"/>
        <v>2853.7560000000003</v>
      </c>
      <c r="O78" s="203">
        <f t="shared" si="12"/>
        <v>1426.8780000000002</v>
      </c>
      <c r="P78" s="203">
        <f t="shared" si="15"/>
        <v>459</v>
      </c>
    </row>
    <row r="79" spans="2:16">
      <c r="B79" s="184" t="s">
        <v>186</v>
      </c>
      <c r="C79" s="184"/>
      <c r="D79" s="209"/>
      <c r="E79" s="184"/>
      <c r="F79" s="209">
        <v>0.93</v>
      </c>
      <c r="I79" s="767" t="s">
        <v>157</v>
      </c>
      <c r="J79" s="768"/>
      <c r="K79" s="182">
        <f t="shared" si="13"/>
        <v>1517.097</v>
      </c>
      <c r="L79" s="213">
        <f t="shared" si="14"/>
        <v>35.4</v>
      </c>
      <c r="M79" s="8">
        <f t="shared" si="14"/>
        <v>118</v>
      </c>
      <c r="N79" s="204">
        <f t="shared" si="11"/>
        <v>3034.194</v>
      </c>
      <c r="O79" s="204">
        <f t="shared" si="12"/>
        <v>1517.097</v>
      </c>
      <c r="P79" s="204">
        <f t="shared" si="15"/>
        <v>459</v>
      </c>
    </row>
    <row r="80" spans="2:16">
      <c r="I80" s="774" t="s">
        <v>159</v>
      </c>
      <c r="J80" s="775"/>
      <c r="K80" s="179">
        <f t="shared" si="13"/>
        <v>1703.8590000000002</v>
      </c>
      <c r="L80" s="212">
        <f t="shared" si="14"/>
        <v>35.4</v>
      </c>
      <c r="M80" s="30">
        <f t="shared" si="14"/>
        <v>118</v>
      </c>
      <c r="N80" s="203">
        <f t="shared" si="11"/>
        <v>3407.7180000000003</v>
      </c>
      <c r="O80" s="203">
        <f t="shared" si="12"/>
        <v>1703.8590000000002</v>
      </c>
      <c r="P80" s="203">
        <f t="shared" si="15"/>
        <v>459</v>
      </c>
    </row>
    <row r="81" spans="2:18">
      <c r="I81" s="767" t="s">
        <v>160</v>
      </c>
      <c r="J81" s="768"/>
      <c r="K81" s="182">
        <f t="shared" si="13"/>
        <v>1526.0526000000002</v>
      </c>
      <c r="L81" s="213">
        <f t="shared" si="14"/>
        <v>35.4</v>
      </c>
      <c r="M81" s="8">
        <f t="shared" si="14"/>
        <v>118</v>
      </c>
      <c r="N81" s="204">
        <f t="shared" si="11"/>
        <v>3052.1052000000004</v>
      </c>
      <c r="O81" s="204">
        <f t="shared" si="12"/>
        <v>1526.0526000000002</v>
      </c>
      <c r="P81" s="204">
        <f t="shared" si="15"/>
        <v>459</v>
      </c>
    </row>
    <row r="82" spans="2:18">
      <c r="B82" s="779" t="s">
        <v>187</v>
      </c>
      <c r="C82" s="779"/>
      <c r="D82" s="779"/>
      <c r="E82" s="779"/>
      <c r="F82" s="779"/>
      <c r="I82" s="774" t="s">
        <v>161</v>
      </c>
      <c r="J82" s="775"/>
      <c r="K82" s="185">
        <f t="shared" si="13"/>
        <v>1660.0601999999999</v>
      </c>
      <c r="L82" s="212">
        <f t="shared" si="14"/>
        <v>35.4</v>
      </c>
      <c r="M82" s="30">
        <f t="shared" si="14"/>
        <v>118</v>
      </c>
      <c r="N82" s="203">
        <f t="shared" si="11"/>
        <v>3320.1203999999998</v>
      </c>
      <c r="O82" s="203">
        <f t="shared" si="12"/>
        <v>1660.0601999999999</v>
      </c>
      <c r="P82" s="203">
        <f t="shared" si="15"/>
        <v>459</v>
      </c>
    </row>
    <row r="83" spans="2:18">
      <c r="B83" s="184" t="s">
        <v>188</v>
      </c>
      <c r="C83" s="184"/>
      <c r="D83" s="209"/>
      <c r="E83" s="184"/>
      <c r="F83" s="209">
        <v>11.23</v>
      </c>
      <c r="I83" s="767" t="s">
        <v>162</v>
      </c>
      <c r="J83" s="768"/>
      <c r="K83" s="182">
        <f t="shared" si="13"/>
        <v>1782.1949999999999</v>
      </c>
      <c r="L83" s="213">
        <f t="shared" si="14"/>
        <v>35.4</v>
      </c>
      <c r="M83" s="8">
        <f t="shared" si="14"/>
        <v>118</v>
      </c>
      <c r="N83" s="204">
        <f t="shared" si="11"/>
        <v>3564.39</v>
      </c>
      <c r="O83" s="204">
        <f t="shared" si="12"/>
        <v>1782.1949999999999</v>
      </c>
      <c r="P83" s="204">
        <f t="shared" si="15"/>
        <v>459</v>
      </c>
    </row>
    <row r="84" spans="2:18">
      <c r="B84" s="12" t="s">
        <v>189</v>
      </c>
      <c r="D84" s="199"/>
      <c r="F84" s="199">
        <v>56.14</v>
      </c>
      <c r="I84" s="774" t="s">
        <v>163</v>
      </c>
      <c r="J84" s="775"/>
      <c r="K84" s="191">
        <f t="shared" si="13"/>
        <v>2038.3782000000001</v>
      </c>
      <c r="L84" s="212">
        <f t="shared" si="14"/>
        <v>35.4</v>
      </c>
      <c r="M84" s="30">
        <f t="shared" si="14"/>
        <v>118</v>
      </c>
      <c r="N84" s="203">
        <f t="shared" si="11"/>
        <v>4076.7564000000002</v>
      </c>
      <c r="O84" s="203">
        <f t="shared" si="12"/>
        <v>2038.3782000000001</v>
      </c>
      <c r="P84" s="203">
        <f t="shared" si="15"/>
        <v>459</v>
      </c>
    </row>
    <row r="85" spans="2:18">
      <c r="I85" s="12"/>
      <c r="J85" s="12"/>
      <c r="K85" s="200"/>
      <c r="M85" s="14"/>
      <c r="N85" s="200"/>
      <c r="O85" s="200"/>
      <c r="P85" s="200"/>
    </row>
    <row r="86" spans="2:18" ht="12.75" customHeight="1"/>
    <row r="87" spans="2:18">
      <c r="B87" s="779" t="s">
        <v>190</v>
      </c>
      <c r="C87" s="779"/>
      <c r="D87" s="779"/>
      <c r="E87" s="779"/>
      <c r="F87" s="779"/>
      <c r="I87" s="772" t="s">
        <v>191</v>
      </c>
      <c r="J87" s="772"/>
      <c r="K87" s="772"/>
      <c r="L87" s="772"/>
      <c r="M87" s="772"/>
      <c r="N87" s="772"/>
      <c r="O87" s="772"/>
      <c r="P87" s="772"/>
      <c r="Q87" s="772"/>
      <c r="R87" s="214"/>
    </row>
    <row r="88" spans="2:18">
      <c r="B88" s="184" t="s">
        <v>192</v>
      </c>
      <c r="C88" s="184"/>
      <c r="D88" s="209"/>
      <c r="E88" s="184"/>
      <c r="F88" s="209">
        <v>3300</v>
      </c>
      <c r="I88" s="198"/>
      <c r="J88" s="198"/>
      <c r="M88" s="199"/>
      <c r="N88" s="200"/>
      <c r="O88" s="200"/>
    </row>
    <row r="89" spans="2:18">
      <c r="B89" s="12" t="s">
        <v>193</v>
      </c>
      <c r="D89" s="199"/>
      <c r="F89" s="199">
        <v>3000</v>
      </c>
      <c r="I89" s="207" t="s">
        <v>181</v>
      </c>
      <c r="J89" s="208">
        <v>0.02</v>
      </c>
      <c r="K89" s="107"/>
      <c r="L89" s="107"/>
      <c r="M89" s="209"/>
      <c r="N89" s="210"/>
      <c r="O89" s="211"/>
      <c r="P89" s="107"/>
      <c r="Q89" s="216"/>
      <c r="R89" s="184"/>
    </row>
    <row r="90" spans="2:18">
      <c r="B90" s="184" t="s">
        <v>194</v>
      </c>
      <c r="C90" s="184"/>
      <c r="D90" s="209"/>
      <c r="E90" s="184"/>
      <c r="F90" s="209">
        <v>2650</v>
      </c>
      <c r="I90" s="198"/>
      <c r="J90" s="198"/>
      <c r="N90" s="201">
        <v>2</v>
      </c>
    </row>
    <row r="91" spans="2:18">
      <c r="B91" s="12" t="s">
        <v>195</v>
      </c>
      <c r="F91" s="199">
        <v>2300</v>
      </c>
      <c r="I91" s="773" t="s">
        <v>139</v>
      </c>
      <c r="J91" s="773"/>
      <c r="K91" s="247" t="s">
        <v>140</v>
      </c>
      <c r="L91" s="248" t="s">
        <v>141</v>
      </c>
      <c r="M91" s="248" t="s">
        <v>142</v>
      </c>
      <c r="N91" s="248" t="s">
        <v>143</v>
      </c>
      <c r="O91" s="248" t="s">
        <v>144</v>
      </c>
      <c r="P91" s="248" t="s">
        <v>145</v>
      </c>
    </row>
    <row r="92" spans="2:18">
      <c r="B92" s="184" t="s">
        <v>196</v>
      </c>
      <c r="C92" s="184"/>
      <c r="D92" s="184"/>
      <c r="E92" s="184"/>
      <c r="F92" s="209">
        <v>2000</v>
      </c>
      <c r="I92" s="774" t="s">
        <v>138</v>
      </c>
      <c r="J92" s="775"/>
      <c r="K92" s="179">
        <f>1*(K64*$J$89)+K64</f>
        <v>971.04693599999996</v>
      </c>
      <c r="L92" s="212">
        <f t="shared" ref="L92:M112" si="16">ROUND((1*(L64*$J$89)+L64),2)</f>
        <v>36.11</v>
      </c>
      <c r="M92" s="212">
        <f t="shared" si="16"/>
        <v>120.36</v>
      </c>
      <c r="N92" s="203">
        <f>K92*$N$6</f>
        <v>1942.0938719999999</v>
      </c>
      <c r="O92" s="203">
        <f>K92</f>
        <v>971.04693599999996</v>
      </c>
      <c r="P92" s="212">
        <f>ROUND((1*(P64*$J$89)+P64),2)</f>
        <v>468.18</v>
      </c>
    </row>
    <row r="93" spans="2:18">
      <c r="I93" s="767" t="s">
        <v>125</v>
      </c>
      <c r="J93" s="768"/>
      <c r="K93" s="182">
        <f t="shared" ref="K93:K112" si="17">1*(K65*$J$89)+K65</f>
        <v>1171.3759560000001</v>
      </c>
      <c r="L93" s="213">
        <f t="shared" si="16"/>
        <v>36.11</v>
      </c>
      <c r="M93" s="8">
        <f t="shared" si="16"/>
        <v>120.36</v>
      </c>
      <c r="N93" s="204">
        <f t="shared" ref="N93:N112" si="18">K93*$N$6</f>
        <v>2342.7519120000002</v>
      </c>
      <c r="O93" s="204">
        <f t="shared" ref="O93:O112" si="19">K93</f>
        <v>1171.3759560000001</v>
      </c>
      <c r="P93" s="204">
        <f t="shared" ref="P93:P112" si="20">ROUND((1*(P65*$J$89)+P65),2)</f>
        <v>468.18</v>
      </c>
    </row>
    <row r="94" spans="2:18">
      <c r="B94" s="779" t="s">
        <v>197</v>
      </c>
      <c r="C94" s="779"/>
      <c r="D94" s="779"/>
      <c r="E94" s="779"/>
      <c r="F94" s="779"/>
      <c r="I94" s="774" t="s">
        <v>126</v>
      </c>
      <c r="J94" s="775"/>
      <c r="K94" s="185">
        <f t="shared" si="17"/>
        <v>1238.4089279999998</v>
      </c>
      <c r="L94" s="212">
        <f t="shared" si="16"/>
        <v>36.11</v>
      </c>
      <c r="M94" s="30">
        <f t="shared" si="16"/>
        <v>120.36</v>
      </c>
      <c r="N94" s="203">
        <f t="shared" si="18"/>
        <v>2476.8178559999997</v>
      </c>
      <c r="O94" s="203">
        <f t="shared" si="19"/>
        <v>1238.4089279999998</v>
      </c>
      <c r="P94" s="203">
        <f t="shared" si="20"/>
        <v>468.18</v>
      </c>
    </row>
    <row r="95" spans="2:18">
      <c r="B95" s="184" t="s">
        <v>198</v>
      </c>
      <c r="C95" s="184"/>
      <c r="D95" s="209"/>
      <c r="E95" s="184"/>
      <c r="F95" s="209">
        <v>140</v>
      </c>
      <c r="I95" s="767" t="s">
        <v>146</v>
      </c>
      <c r="J95" s="768"/>
      <c r="K95" s="182">
        <f t="shared" si="17"/>
        <v>1238.429736</v>
      </c>
      <c r="L95" s="213">
        <f t="shared" si="16"/>
        <v>36.11</v>
      </c>
      <c r="M95" s="8">
        <f t="shared" si="16"/>
        <v>120.36</v>
      </c>
      <c r="N95" s="204">
        <f t="shared" si="18"/>
        <v>2476.8594720000001</v>
      </c>
      <c r="O95" s="204">
        <f t="shared" si="19"/>
        <v>1238.429736</v>
      </c>
      <c r="P95" s="204">
        <f t="shared" si="20"/>
        <v>468.18</v>
      </c>
    </row>
    <row r="96" spans="2:18">
      <c r="B96" s="12" t="s">
        <v>199</v>
      </c>
      <c r="D96" s="199"/>
      <c r="F96" s="199">
        <v>140</v>
      </c>
      <c r="I96" s="774" t="s">
        <v>147</v>
      </c>
      <c r="J96" s="775"/>
      <c r="K96" s="185">
        <f t="shared" si="17"/>
        <v>1283.8536000000001</v>
      </c>
      <c r="L96" s="212">
        <f t="shared" si="16"/>
        <v>36.11</v>
      </c>
      <c r="M96" s="30">
        <f t="shared" si="16"/>
        <v>120.36</v>
      </c>
      <c r="N96" s="203">
        <f t="shared" si="18"/>
        <v>2567.7072000000003</v>
      </c>
      <c r="O96" s="203">
        <f t="shared" si="19"/>
        <v>1283.8536000000001</v>
      </c>
      <c r="P96" s="203">
        <f t="shared" si="20"/>
        <v>468.18</v>
      </c>
    </row>
    <row r="97" spans="9:16">
      <c r="I97" s="767" t="s">
        <v>127</v>
      </c>
      <c r="J97" s="768"/>
      <c r="K97" s="182">
        <f t="shared" si="17"/>
        <v>1290.6682199999998</v>
      </c>
      <c r="L97" s="213">
        <f t="shared" si="16"/>
        <v>36.11</v>
      </c>
      <c r="M97" s="8">
        <f t="shared" si="16"/>
        <v>120.36</v>
      </c>
      <c r="N97" s="204">
        <f t="shared" si="18"/>
        <v>2581.3364399999996</v>
      </c>
      <c r="O97" s="204">
        <f t="shared" si="19"/>
        <v>1290.6682199999998</v>
      </c>
      <c r="P97" s="204">
        <f t="shared" si="20"/>
        <v>468.18</v>
      </c>
    </row>
    <row r="98" spans="9:16">
      <c r="I98" s="774" t="s">
        <v>148</v>
      </c>
      <c r="J98" s="775"/>
      <c r="K98" s="185">
        <f t="shared" si="17"/>
        <v>1357.701192</v>
      </c>
      <c r="L98" s="212">
        <f t="shared" si="16"/>
        <v>36.11</v>
      </c>
      <c r="M98" s="30">
        <f t="shared" si="16"/>
        <v>120.36</v>
      </c>
      <c r="N98" s="203">
        <f t="shared" si="18"/>
        <v>2715.402384</v>
      </c>
      <c r="O98" s="203">
        <f t="shared" si="19"/>
        <v>1357.701192</v>
      </c>
      <c r="P98" s="203">
        <f t="shared" si="20"/>
        <v>468.18</v>
      </c>
    </row>
    <row r="99" spans="9:16">
      <c r="I99" s="767" t="s">
        <v>149</v>
      </c>
      <c r="J99" s="768"/>
      <c r="K99" s="182">
        <f t="shared" si="17"/>
        <v>1357.701192</v>
      </c>
      <c r="L99" s="213">
        <f t="shared" si="16"/>
        <v>36.11</v>
      </c>
      <c r="M99" s="8">
        <f t="shared" si="16"/>
        <v>120.36</v>
      </c>
      <c r="N99" s="204">
        <f t="shared" si="18"/>
        <v>2715.402384</v>
      </c>
      <c r="O99" s="204">
        <f t="shared" si="19"/>
        <v>1357.701192</v>
      </c>
      <c r="P99" s="204">
        <f t="shared" si="20"/>
        <v>468.18</v>
      </c>
    </row>
    <row r="100" spans="9:16">
      <c r="I100" s="774" t="s">
        <v>150</v>
      </c>
      <c r="J100" s="775"/>
      <c r="K100" s="185">
        <f t="shared" si="17"/>
        <v>1419.074388</v>
      </c>
      <c r="L100" s="212">
        <f t="shared" si="16"/>
        <v>36.11</v>
      </c>
      <c r="M100" s="30">
        <f t="shared" si="16"/>
        <v>120.36</v>
      </c>
      <c r="N100" s="203">
        <f t="shared" si="18"/>
        <v>2838.148776</v>
      </c>
      <c r="O100" s="203">
        <f t="shared" si="19"/>
        <v>1419.074388</v>
      </c>
      <c r="P100" s="203">
        <f t="shared" si="20"/>
        <v>468.18</v>
      </c>
    </row>
    <row r="101" spans="9:16">
      <c r="I101" s="767" t="s">
        <v>151</v>
      </c>
      <c r="J101" s="768"/>
      <c r="K101" s="188">
        <f t="shared" si="17"/>
        <v>1419.074388</v>
      </c>
      <c r="L101" s="213">
        <f t="shared" si="16"/>
        <v>36.11</v>
      </c>
      <c r="M101" s="8">
        <f t="shared" si="16"/>
        <v>120.36</v>
      </c>
      <c r="N101" s="204">
        <f t="shared" si="18"/>
        <v>2838.148776</v>
      </c>
      <c r="O101" s="204">
        <f t="shared" si="19"/>
        <v>1419.074388</v>
      </c>
      <c r="P101" s="204">
        <f t="shared" si="20"/>
        <v>468.18</v>
      </c>
    </row>
    <row r="102" spans="9:16">
      <c r="I102" s="774" t="s">
        <v>153</v>
      </c>
      <c r="J102" s="775"/>
      <c r="K102" s="179">
        <f t="shared" si="17"/>
        <v>971.04693599999996</v>
      </c>
      <c r="L102" s="212">
        <f t="shared" si="16"/>
        <v>36.11</v>
      </c>
      <c r="M102" s="30">
        <f t="shared" si="16"/>
        <v>120.36</v>
      </c>
      <c r="N102" s="203">
        <f t="shared" si="18"/>
        <v>1942.0938719999999</v>
      </c>
      <c r="O102" s="203">
        <f t="shared" si="19"/>
        <v>971.04693599999996</v>
      </c>
      <c r="P102" s="203">
        <f t="shared" si="20"/>
        <v>468.18</v>
      </c>
    </row>
    <row r="103" spans="9:16">
      <c r="I103" s="767" t="s">
        <v>154</v>
      </c>
      <c r="J103" s="768"/>
      <c r="K103" s="182">
        <f t="shared" si="17"/>
        <v>971.04693599999996</v>
      </c>
      <c r="L103" s="213">
        <f t="shared" si="16"/>
        <v>36.11</v>
      </c>
      <c r="M103" s="8">
        <f t="shared" si="16"/>
        <v>120.36</v>
      </c>
      <c r="N103" s="204">
        <f t="shared" si="18"/>
        <v>1942.0938719999999</v>
      </c>
      <c r="O103" s="204">
        <f t="shared" si="19"/>
        <v>971.04693599999996</v>
      </c>
      <c r="P103" s="204">
        <f t="shared" si="20"/>
        <v>468.18</v>
      </c>
    </row>
    <row r="104" spans="9:16">
      <c r="I104" s="774" t="s">
        <v>155</v>
      </c>
      <c r="J104" s="775"/>
      <c r="K104" s="185">
        <f t="shared" si="17"/>
        <v>1295.2251720000002</v>
      </c>
      <c r="L104" s="212">
        <f t="shared" si="16"/>
        <v>36.11</v>
      </c>
      <c r="M104" s="30">
        <f t="shared" si="16"/>
        <v>120.36</v>
      </c>
      <c r="N104" s="203">
        <f t="shared" si="18"/>
        <v>2590.4503440000003</v>
      </c>
      <c r="O104" s="203">
        <f t="shared" si="19"/>
        <v>1295.2251720000002</v>
      </c>
      <c r="P104" s="203">
        <f t="shared" si="20"/>
        <v>468.18</v>
      </c>
    </row>
    <row r="105" spans="9:16">
      <c r="I105" s="767" t="s">
        <v>131</v>
      </c>
      <c r="J105" s="768"/>
      <c r="K105" s="182">
        <f t="shared" si="17"/>
        <v>1352.36394</v>
      </c>
      <c r="L105" s="213">
        <f t="shared" si="16"/>
        <v>36.11</v>
      </c>
      <c r="M105" s="8">
        <f t="shared" si="16"/>
        <v>120.36</v>
      </c>
      <c r="N105" s="204">
        <f t="shared" si="18"/>
        <v>2704.7278799999999</v>
      </c>
      <c r="O105" s="204">
        <f t="shared" si="19"/>
        <v>1352.36394</v>
      </c>
      <c r="P105" s="204">
        <f t="shared" si="20"/>
        <v>468.18</v>
      </c>
    </row>
    <row r="106" spans="9:16">
      <c r="I106" s="774" t="s">
        <v>156</v>
      </c>
      <c r="J106" s="775"/>
      <c r="K106" s="185">
        <f t="shared" si="17"/>
        <v>1455.4155600000001</v>
      </c>
      <c r="L106" s="212">
        <f t="shared" si="16"/>
        <v>36.11</v>
      </c>
      <c r="M106" s="30">
        <f t="shared" si="16"/>
        <v>120.36</v>
      </c>
      <c r="N106" s="203">
        <f t="shared" si="18"/>
        <v>2910.8311200000003</v>
      </c>
      <c r="O106" s="203">
        <f t="shared" si="19"/>
        <v>1455.4155600000001</v>
      </c>
      <c r="P106" s="203">
        <f t="shared" si="20"/>
        <v>468.18</v>
      </c>
    </row>
    <row r="107" spans="9:16">
      <c r="I107" s="767" t="s">
        <v>157</v>
      </c>
      <c r="J107" s="768"/>
      <c r="K107" s="182">
        <f t="shared" si="17"/>
        <v>1547.43894</v>
      </c>
      <c r="L107" s="213">
        <f t="shared" si="16"/>
        <v>36.11</v>
      </c>
      <c r="M107" s="8">
        <f t="shared" si="16"/>
        <v>120.36</v>
      </c>
      <c r="N107" s="204">
        <f t="shared" si="18"/>
        <v>3094.87788</v>
      </c>
      <c r="O107" s="204">
        <f t="shared" si="19"/>
        <v>1547.43894</v>
      </c>
      <c r="P107" s="204">
        <f t="shared" si="20"/>
        <v>468.18</v>
      </c>
    </row>
    <row r="108" spans="9:16">
      <c r="I108" s="774" t="s">
        <v>159</v>
      </c>
      <c r="J108" s="775"/>
      <c r="K108" s="179">
        <f t="shared" si="17"/>
        <v>1737.9361800000001</v>
      </c>
      <c r="L108" s="212">
        <f t="shared" si="16"/>
        <v>36.11</v>
      </c>
      <c r="M108" s="30">
        <f t="shared" si="16"/>
        <v>120.36</v>
      </c>
      <c r="N108" s="203">
        <f t="shared" si="18"/>
        <v>3475.8723600000003</v>
      </c>
      <c r="O108" s="203">
        <f t="shared" si="19"/>
        <v>1737.9361800000001</v>
      </c>
      <c r="P108" s="203">
        <f t="shared" si="20"/>
        <v>468.18</v>
      </c>
    </row>
    <row r="109" spans="9:16">
      <c r="I109" s="767" t="s">
        <v>160</v>
      </c>
      <c r="J109" s="768"/>
      <c r="K109" s="182">
        <f t="shared" si="17"/>
        <v>1556.5736520000003</v>
      </c>
      <c r="L109" s="213">
        <f t="shared" si="16"/>
        <v>36.11</v>
      </c>
      <c r="M109" s="8">
        <f t="shared" si="16"/>
        <v>120.36</v>
      </c>
      <c r="N109" s="204">
        <f t="shared" si="18"/>
        <v>3113.1473040000005</v>
      </c>
      <c r="O109" s="204">
        <f t="shared" si="19"/>
        <v>1556.5736520000003</v>
      </c>
      <c r="P109" s="204">
        <f t="shared" si="20"/>
        <v>468.18</v>
      </c>
    </row>
    <row r="110" spans="9:16">
      <c r="I110" s="774" t="s">
        <v>161</v>
      </c>
      <c r="J110" s="775"/>
      <c r="K110" s="185">
        <f t="shared" si="17"/>
        <v>1693.2614039999999</v>
      </c>
      <c r="L110" s="212">
        <f t="shared" si="16"/>
        <v>36.11</v>
      </c>
      <c r="M110" s="30">
        <f t="shared" si="16"/>
        <v>120.36</v>
      </c>
      <c r="N110" s="203">
        <f t="shared" si="18"/>
        <v>3386.5228079999997</v>
      </c>
      <c r="O110" s="203">
        <f t="shared" si="19"/>
        <v>1693.2614039999999</v>
      </c>
      <c r="P110" s="203">
        <f t="shared" si="20"/>
        <v>468.18</v>
      </c>
    </row>
    <row r="111" spans="9:16" ht="12.75" customHeight="1">
      <c r="I111" s="767" t="s">
        <v>162</v>
      </c>
      <c r="J111" s="768"/>
      <c r="K111" s="182">
        <f t="shared" si="17"/>
        <v>1817.8389</v>
      </c>
      <c r="L111" s="213">
        <f t="shared" si="16"/>
        <v>36.11</v>
      </c>
      <c r="M111" s="8">
        <f t="shared" si="16"/>
        <v>120.36</v>
      </c>
      <c r="N111" s="204">
        <f t="shared" si="18"/>
        <v>3635.6777999999999</v>
      </c>
      <c r="O111" s="204">
        <f t="shared" si="19"/>
        <v>1817.8389</v>
      </c>
      <c r="P111" s="204">
        <f t="shared" si="20"/>
        <v>468.18</v>
      </c>
    </row>
    <row r="112" spans="9:16">
      <c r="I112" s="774" t="s">
        <v>163</v>
      </c>
      <c r="J112" s="775"/>
      <c r="K112" s="191">
        <f t="shared" si="17"/>
        <v>2079.1457640000003</v>
      </c>
      <c r="L112" s="212">
        <f t="shared" si="16"/>
        <v>36.11</v>
      </c>
      <c r="M112" s="30">
        <f t="shared" si="16"/>
        <v>120.36</v>
      </c>
      <c r="N112" s="203">
        <f t="shared" si="18"/>
        <v>4158.2915280000007</v>
      </c>
      <c r="O112" s="203">
        <f t="shared" si="19"/>
        <v>2079.1457640000003</v>
      </c>
      <c r="P112" s="203">
        <f t="shared" si="20"/>
        <v>468.18</v>
      </c>
    </row>
    <row r="113" spans="9:18" ht="15" customHeight="1">
      <c r="I113" s="198"/>
      <c r="J113" s="198"/>
      <c r="M113" s="199"/>
      <c r="N113" s="200"/>
      <c r="O113" s="200"/>
    </row>
    <row r="114" spans="9:18">
      <c r="I114" s="198"/>
      <c r="J114" s="198"/>
      <c r="M114" s="199"/>
      <c r="N114" s="200"/>
      <c r="O114" s="200"/>
    </row>
    <row r="115" spans="9:18">
      <c r="I115" s="772" t="s">
        <v>200</v>
      </c>
      <c r="J115" s="772"/>
      <c r="K115" s="772"/>
      <c r="L115" s="772"/>
      <c r="M115" s="772"/>
      <c r="N115" s="772"/>
      <c r="O115" s="772"/>
      <c r="P115" s="772"/>
      <c r="Q115" s="772"/>
      <c r="R115" s="214"/>
    </row>
    <row r="116" spans="9:18">
      <c r="I116" s="198"/>
      <c r="J116" s="198"/>
      <c r="M116" s="199"/>
      <c r="N116" s="200"/>
      <c r="O116" s="200"/>
    </row>
    <row r="117" spans="9:18">
      <c r="I117" s="207" t="s">
        <v>181</v>
      </c>
      <c r="J117" s="208">
        <v>0.02</v>
      </c>
      <c r="K117" s="107"/>
      <c r="L117" s="107"/>
      <c r="M117" s="209"/>
      <c r="N117" s="210"/>
      <c r="O117" s="211"/>
      <c r="P117" s="107"/>
      <c r="Q117" s="216"/>
      <c r="R117" s="184"/>
    </row>
    <row r="118" spans="9:18">
      <c r="I118" s="198"/>
      <c r="J118" s="198"/>
      <c r="N118" s="201">
        <v>2</v>
      </c>
    </row>
    <row r="119" spans="9:18">
      <c r="I119" s="773" t="s">
        <v>139</v>
      </c>
      <c r="J119" s="773"/>
      <c r="K119" s="247" t="s">
        <v>140</v>
      </c>
      <c r="L119" s="248" t="s">
        <v>141</v>
      </c>
      <c r="M119" s="248" t="s">
        <v>142</v>
      </c>
      <c r="N119" s="248" t="s">
        <v>143</v>
      </c>
      <c r="O119" s="248" t="s">
        <v>144</v>
      </c>
      <c r="P119" s="248" t="s">
        <v>145</v>
      </c>
    </row>
    <row r="120" spans="9:18">
      <c r="I120" s="774" t="s">
        <v>138</v>
      </c>
      <c r="J120" s="775"/>
      <c r="K120" s="179">
        <f>1*(K92*$J$117)+K92</f>
        <v>990.46787471999994</v>
      </c>
      <c r="L120" s="212">
        <f t="shared" ref="L120:M140" si="21">ROUND((1*(L92*$J$117)+L92),2)</f>
        <v>36.83</v>
      </c>
      <c r="M120" s="212">
        <f t="shared" si="21"/>
        <v>122.77</v>
      </c>
      <c r="N120" s="203">
        <f>K120*$N$6</f>
        <v>1980.9357494399999</v>
      </c>
      <c r="O120" s="203">
        <f>K120</f>
        <v>990.46787471999994</v>
      </c>
      <c r="P120" s="212">
        <f>ROUND((1*(P92*$J$117)+P92),2)</f>
        <v>477.54</v>
      </c>
    </row>
    <row r="121" spans="9:18">
      <c r="I121" s="767" t="s">
        <v>125</v>
      </c>
      <c r="J121" s="768"/>
      <c r="K121" s="182">
        <f t="shared" ref="K121:K140" si="22">1*(K93*$J$117)+K93</f>
        <v>1194.80347512</v>
      </c>
      <c r="L121" s="213">
        <f t="shared" si="21"/>
        <v>36.83</v>
      </c>
      <c r="M121" s="8">
        <f t="shared" si="21"/>
        <v>122.77</v>
      </c>
      <c r="N121" s="204">
        <f t="shared" ref="N121:N140" si="23">K121*$N$6</f>
        <v>2389.6069502400001</v>
      </c>
      <c r="O121" s="204">
        <f t="shared" ref="O121:O140" si="24">K121</f>
        <v>1194.80347512</v>
      </c>
      <c r="P121" s="204">
        <f t="shared" ref="P121:P140" si="25">ROUND((1*(P93*$J$117)+P93),2)</f>
        <v>477.54</v>
      </c>
    </row>
    <row r="122" spans="9:18">
      <c r="I122" s="774" t="s">
        <v>126</v>
      </c>
      <c r="J122" s="775"/>
      <c r="K122" s="185">
        <f t="shared" si="22"/>
        <v>1263.1771065599999</v>
      </c>
      <c r="L122" s="212">
        <f t="shared" si="21"/>
        <v>36.83</v>
      </c>
      <c r="M122" s="30">
        <f t="shared" si="21"/>
        <v>122.77</v>
      </c>
      <c r="N122" s="203">
        <f t="shared" si="23"/>
        <v>2526.3542131199997</v>
      </c>
      <c r="O122" s="203">
        <f t="shared" si="24"/>
        <v>1263.1771065599999</v>
      </c>
      <c r="P122" s="203">
        <f t="shared" si="25"/>
        <v>477.54</v>
      </c>
    </row>
    <row r="123" spans="9:18">
      <c r="I123" s="767" t="s">
        <v>146</v>
      </c>
      <c r="J123" s="768"/>
      <c r="K123" s="182">
        <f t="shared" si="22"/>
        <v>1263.1983307200001</v>
      </c>
      <c r="L123" s="213">
        <f t="shared" si="21"/>
        <v>36.83</v>
      </c>
      <c r="M123" s="8">
        <f t="shared" si="21"/>
        <v>122.77</v>
      </c>
      <c r="N123" s="204">
        <f t="shared" si="23"/>
        <v>2526.3966614400001</v>
      </c>
      <c r="O123" s="204">
        <f t="shared" si="24"/>
        <v>1263.1983307200001</v>
      </c>
      <c r="P123" s="204">
        <f t="shared" si="25"/>
        <v>477.54</v>
      </c>
    </row>
    <row r="124" spans="9:18">
      <c r="I124" s="774" t="s">
        <v>147</v>
      </c>
      <c r="J124" s="775"/>
      <c r="K124" s="185">
        <f t="shared" si="22"/>
        <v>1309.5306720000001</v>
      </c>
      <c r="L124" s="212">
        <f t="shared" si="21"/>
        <v>36.83</v>
      </c>
      <c r="M124" s="30">
        <f t="shared" si="21"/>
        <v>122.77</v>
      </c>
      <c r="N124" s="203">
        <f t="shared" si="23"/>
        <v>2619.0613440000002</v>
      </c>
      <c r="O124" s="203">
        <f t="shared" si="24"/>
        <v>1309.5306720000001</v>
      </c>
      <c r="P124" s="203">
        <f t="shared" si="25"/>
        <v>477.54</v>
      </c>
    </row>
    <row r="125" spans="9:18">
      <c r="I125" s="767" t="s">
        <v>127</v>
      </c>
      <c r="J125" s="768"/>
      <c r="K125" s="182">
        <f t="shared" si="22"/>
        <v>1316.4815843999997</v>
      </c>
      <c r="L125" s="213">
        <f t="shared" si="21"/>
        <v>36.83</v>
      </c>
      <c r="M125" s="8">
        <f t="shared" si="21"/>
        <v>122.77</v>
      </c>
      <c r="N125" s="204">
        <f t="shared" si="23"/>
        <v>2632.9631687999995</v>
      </c>
      <c r="O125" s="204">
        <f t="shared" si="24"/>
        <v>1316.4815843999997</v>
      </c>
      <c r="P125" s="204">
        <f t="shared" si="25"/>
        <v>477.54</v>
      </c>
    </row>
    <row r="126" spans="9:18">
      <c r="I126" s="774" t="s">
        <v>148</v>
      </c>
      <c r="J126" s="775"/>
      <c r="K126" s="185">
        <f t="shared" si="22"/>
        <v>1384.85521584</v>
      </c>
      <c r="L126" s="212">
        <f t="shared" si="21"/>
        <v>36.83</v>
      </c>
      <c r="M126" s="30">
        <f t="shared" si="21"/>
        <v>122.77</v>
      </c>
      <c r="N126" s="203">
        <f t="shared" si="23"/>
        <v>2769.7104316800001</v>
      </c>
      <c r="O126" s="203">
        <f t="shared" si="24"/>
        <v>1384.85521584</v>
      </c>
      <c r="P126" s="203">
        <f t="shared" si="25"/>
        <v>477.54</v>
      </c>
    </row>
    <row r="127" spans="9:18">
      <c r="I127" s="767" t="s">
        <v>149</v>
      </c>
      <c r="J127" s="768"/>
      <c r="K127" s="182">
        <f t="shared" si="22"/>
        <v>1384.85521584</v>
      </c>
      <c r="L127" s="213">
        <f t="shared" si="21"/>
        <v>36.83</v>
      </c>
      <c r="M127" s="8">
        <f t="shared" si="21"/>
        <v>122.77</v>
      </c>
      <c r="N127" s="204">
        <f t="shared" si="23"/>
        <v>2769.7104316800001</v>
      </c>
      <c r="O127" s="204">
        <f t="shared" si="24"/>
        <v>1384.85521584</v>
      </c>
      <c r="P127" s="204">
        <f t="shared" si="25"/>
        <v>477.54</v>
      </c>
    </row>
    <row r="128" spans="9:18">
      <c r="I128" s="774" t="s">
        <v>150</v>
      </c>
      <c r="J128" s="775"/>
      <c r="K128" s="185">
        <f t="shared" si="22"/>
        <v>1447.45587576</v>
      </c>
      <c r="L128" s="212">
        <f t="shared" si="21"/>
        <v>36.83</v>
      </c>
      <c r="M128" s="30">
        <f t="shared" si="21"/>
        <v>122.77</v>
      </c>
      <c r="N128" s="203">
        <f t="shared" si="23"/>
        <v>2894.9117515200001</v>
      </c>
      <c r="O128" s="203">
        <f t="shared" si="24"/>
        <v>1447.45587576</v>
      </c>
      <c r="P128" s="203">
        <f t="shared" si="25"/>
        <v>477.54</v>
      </c>
    </row>
    <row r="129" spans="2:18">
      <c r="I129" s="767" t="s">
        <v>151</v>
      </c>
      <c r="J129" s="768"/>
      <c r="K129" s="188">
        <f t="shared" si="22"/>
        <v>1447.45587576</v>
      </c>
      <c r="L129" s="213">
        <f t="shared" si="21"/>
        <v>36.83</v>
      </c>
      <c r="M129" s="8">
        <f t="shared" si="21"/>
        <v>122.77</v>
      </c>
      <c r="N129" s="204">
        <f t="shared" si="23"/>
        <v>2894.9117515200001</v>
      </c>
      <c r="O129" s="204">
        <f t="shared" si="24"/>
        <v>1447.45587576</v>
      </c>
      <c r="P129" s="204">
        <f t="shared" si="25"/>
        <v>477.54</v>
      </c>
    </row>
    <row r="130" spans="2:18">
      <c r="I130" s="774" t="s">
        <v>153</v>
      </c>
      <c r="J130" s="775"/>
      <c r="K130" s="179">
        <f t="shared" si="22"/>
        <v>990.46787471999994</v>
      </c>
      <c r="L130" s="212">
        <f t="shared" si="21"/>
        <v>36.83</v>
      </c>
      <c r="M130" s="30">
        <f t="shared" si="21"/>
        <v>122.77</v>
      </c>
      <c r="N130" s="203">
        <f t="shared" si="23"/>
        <v>1980.9357494399999</v>
      </c>
      <c r="O130" s="203">
        <f t="shared" si="24"/>
        <v>990.46787471999994</v>
      </c>
      <c r="P130" s="203">
        <f t="shared" si="25"/>
        <v>477.54</v>
      </c>
    </row>
    <row r="131" spans="2:18">
      <c r="I131" s="767" t="s">
        <v>154</v>
      </c>
      <c r="J131" s="768"/>
      <c r="K131" s="182">
        <f t="shared" si="22"/>
        <v>990.46787471999994</v>
      </c>
      <c r="L131" s="213">
        <f t="shared" si="21"/>
        <v>36.83</v>
      </c>
      <c r="M131" s="8">
        <f t="shared" si="21"/>
        <v>122.77</v>
      </c>
      <c r="N131" s="204">
        <f t="shared" si="23"/>
        <v>1980.9357494399999</v>
      </c>
      <c r="O131" s="204">
        <f t="shared" si="24"/>
        <v>990.46787471999994</v>
      </c>
      <c r="P131" s="204">
        <f t="shared" si="25"/>
        <v>477.54</v>
      </c>
    </row>
    <row r="132" spans="2:18">
      <c r="I132" s="774" t="s">
        <v>155</v>
      </c>
      <c r="J132" s="775"/>
      <c r="K132" s="185">
        <f t="shared" si="22"/>
        <v>1321.1296754400003</v>
      </c>
      <c r="L132" s="212">
        <f t="shared" si="21"/>
        <v>36.83</v>
      </c>
      <c r="M132" s="30">
        <f t="shared" si="21"/>
        <v>122.77</v>
      </c>
      <c r="N132" s="203">
        <f t="shared" si="23"/>
        <v>2642.2593508800005</v>
      </c>
      <c r="O132" s="203">
        <f t="shared" si="24"/>
        <v>1321.1296754400003</v>
      </c>
      <c r="P132" s="203">
        <f t="shared" si="25"/>
        <v>477.54</v>
      </c>
    </row>
    <row r="133" spans="2:18">
      <c r="I133" s="767" t="s">
        <v>131</v>
      </c>
      <c r="J133" s="768"/>
      <c r="K133" s="182">
        <f t="shared" si="22"/>
        <v>1379.4112187999999</v>
      </c>
      <c r="L133" s="213">
        <f t="shared" si="21"/>
        <v>36.83</v>
      </c>
      <c r="M133" s="8">
        <f t="shared" si="21"/>
        <v>122.77</v>
      </c>
      <c r="N133" s="204">
        <f t="shared" si="23"/>
        <v>2758.8224375999998</v>
      </c>
      <c r="O133" s="204">
        <f t="shared" si="24"/>
        <v>1379.4112187999999</v>
      </c>
      <c r="P133" s="204">
        <f t="shared" si="25"/>
        <v>477.54</v>
      </c>
    </row>
    <row r="134" spans="2:18">
      <c r="I134" s="774" t="s">
        <v>156</v>
      </c>
      <c r="J134" s="775"/>
      <c r="K134" s="185">
        <f t="shared" si="22"/>
        <v>1484.5238712</v>
      </c>
      <c r="L134" s="212">
        <f t="shared" si="21"/>
        <v>36.83</v>
      </c>
      <c r="M134" s="30">
        <f t="shared" si="21"/>
        <v>122.77</v>
      </c>
      <c r="N134" s="203">
        <f t="shared" si="23"/>
        <v>2969.0477424000001</v>
      </c>
      <c r="O134" s="203">
        <f t="shared" si="24"/>
        <v>1484.5238712</v>
      </c>
      <c r="P134" s="203">
        <f t="shared" si="25"/>
        <v>477.54</v>
      </c>
    </row>
    <row r="135" spans="2:18">
      <c r="I135" s="767" t="s">
        <v>157</v>
      </c>
      <c r="J135" s="768"/>
      <c r="K135" s="182">
        <f t="shared" si="22"/>
        <v>1578.3877187999999</v>
      </c>
      <c r="L135" s="213">
        <f t="shared" si="21"/>
        <v>36.83</v>
      </c>
      <c r="M135" s="8">
        <f t="shared" si="21"/>
        <v>122.77</v>
      </c>
      <c r="N135" s="204">
        <f t="shared" si="23"/>
        <v>3156.7754375999998</v>
      </c>
      <c r="O135" s="204">
        <f t="shared" si="24"/>
        <v>1578.3877187999999</v>
      </c>
      <c r="P135" s="204">
        <f t="shared" si="25"/>
        <v>477.54</v>
      </c>
    </row>
    <row r="136" spans="2:18" ht="12.75" customHeight="1">
      <c r="I136" s="774" t="s">
        <v>159</v>
      </c>
      <c r="J136" s="775"/>
      <c r="K136" s="179">
        <f t="shared" si="22"/>
        <v>1772.6949036000001</v>
      </c>
      <c r="L136" s="212">
        <f t="shared" si="21"/>
        <v>36.83</v>
      </c>
      <c r="M136" s="30">
        <f t="shared" si="21"/>
        <v>122.77</v>
      </c>
      <c r="N136" s="203">
        <f t="shared" si="23"/>
        <v>3545.3898072000002</v>
      </c>
      <c r="O136" s="203">
        <f t="shared" si="24"/>
        <v>1772.6949036000001</v>
      </c>
      <c r="P136" s="203">
        <f t="shared" si="25"/>
        <v>477.54</v>
      </c>
    </row>
    <row r="137" spans="2:18">
      <c r="I137" s="767" t="s">
        <v>160</v>
      </c>
      <c r="J137" s="768"/>
      <c r="K137" s="182">
        <f t="shared" si="22"/>
        <v>1587.7051250400002</v>
      </c>
      <c r="L137" s="213">
        <f t="shared" si="21"/>
        <v>36.83</v>
      </c>
      <c r="M137" s="8">
        <f t="shared" si="21"/>
        <v>122.77</v>
      </c>
      <c r="N137" s="204">
        <f t="shared" si="23"/>
        <v>3175.4102500800004</v>
      </c>
      <c r="O137" s="204">
        <f t="shared" si="24"/>
        <v>1587.7051250400002</v>
      </c>
      <c r="P137" s="204">
        <f t="shared" si="25"/>
        <v>477.54</v>
      </c>
    </row>
    <row r="138" spans="2:18" ht="15" customHeight="1">
      <c r="I138" s="774" t="s">
        <v>161</v>
      </c>
      <c r="J138" s="775"/>
      <c r="K138" s="185">
        <f t="shared" si="22"/>
        <v>1727.1266320799998</v>
      </c>
      <c r="L138" s="212">
        <f t="shared" si="21"/>
        <v>36.83</v>
      </c>
      <c r="M138" s="30">
        <f t="shared" si="21"/>
        <v>122.77</v>
      </c>
      <c r="N138" s="203">
        <f t="shared" si="23"/>
        <v>3454.2532641599996</v>
      </c>
      <c r="O138" s="203">
        <f t="shared" si="24"/>
        <v>1727.1266320799998</v>
      </c>
      <c r="P138" s="203">
        <f t="shared" si="25"/>
        <v>477.54</v>
      </c>
    </row>
    <row r="139" spans="2:18">
      <c r="I139" s="767" t="s">
        <v>162</v>
      </c>
      <c r="J139" s="768"/>
      <c r="K139" s="182">
        <f t="shared" si="22"/>
        <v>1854.195678</v>
      </c>
      <c r="L139" s="213">
        <f t="shared" si="21"/>
        <v>36.83</v>
      </c>
      <c r="M139" s="8">
        <f t="shared" si="21"/>
        <v>122.77</v>
      </c>
      <c r="N139" s="204">
        <f t="shared" si="23"/>
        <v>3708.3913560000001</v>
      </c>
      <c r="O139" s="204">
        <f t="shared" si="24"/>
        <v>1854.195678</v>
      </c>
      <c r="P139" s="204">
        <f t="shared" si="25"/>
        <v>477.54</v>
      </c>
    </row>
    <row r="140" spans="2:18">
      <c r="I140" s="774" t="s">
        <v>163</v>
      </c>
      <c r="J140" s="775"/>
      <c r="K140" s="191">
        <f t="shared" si="22"/>
        <v>2120.7286792800005</v>
      </c>
      <c r="L140" s="212">
        <f t="shared" si="21"/>
        <v>36.83</v>
      </c>
      <c r="M140" s="30">
        <f t="shared" si="21"/>
        <v>122.77</v>
      </c>
      <c r="N140" s="203">
        <f t="shared" si="23"/>
        <v>4241.457358560001</v>
      </c>
      <c r="O140" s="203">
        <f t="shared" si="24"/>
        <v>2120.7286792800005</v>
      </c>
      <c r="P140" s="203">
        <f t="shared" si="25"/>
        <v>477.54</v>
      </c>
    </row>
    <row r="141" spans="2:18">
      <c r="I141" s="198"/>
      <c r="J141" s="198"/>
      <c r="M141" s="199"/>
      <c r="N141" s="200"/>
      <c r="O141" s="200"/>
    </row>
    <row r="142" spans="2:18">
      <c r="I142" s="198"/>
      <c r="J142" s="198"/>
      <c r="M142" s="199"/>
      <c r="N142" s="200"/>
      <c r="O142" s="200"/>
    </row>
    <row r="143" spans="2:18">
      <c r="B143" s="174"/>
      <c r="C143" s="174"/>
      <c r="D143" s="174"/>
      <c r="E143" s="174"/>
      <c r="F143" s="174"/>
      <c r="I143" s="772" t="s">
        <v>201</v>
      </c>
      <c r="J143" s="772"/>
      <c r="K143" s="772"/>
      <c r="L143" s="772"/>
      <c r="M143" s="772"/>
      <c r="N143" s="772"/>
      <c r="O143" s="772"/>
      <c r="P143" s="772"/>
      <c r="Q143" s="772"/>
      <c r="R143" s="214"/>
    </row>
    <row r="144" spans="2:18">
      <c r="G144" s="174"/>
      <c r="I144" s="198"/>
      <c r="J144" s="198"/>
      <c r="M144" s="199"/>
      <c r="N144" s="200"/>
      <c r="O144" s="200"/>
    </row>
    <row r="145" spans="9:18">
      <c r="I145" s="207" t="s">
        <v>181</v>
      </c>
      <c r="J145" s="208">
        <v>0.01</v>
      </c>
      <c r="K145" s="107"/>
      <c r="L145" s="107"/>
      <c r="M145" s="209"/>
      <c r="N145" s="210"/>
      <c r="O145" s="211"/>
      <c r="P145" s="107"/>
      <c r="Q145" s="216"/>
      <c r="R145" s="184"/>
    </row>
    <row r="146" spans="9:18">
      <c r="I146" s="198"/>
      <c r="J146" s="198"/>
      <c r="N146" s="201">
        <v>2</v>
      </c>
    </row>
    <row r="147" spans="9:18">
      <c r="I147" s="773" t="s">
        <v>139</v>
      </c>
      <c r="J147" s="773"/>
      <c r="K147" s="247" t="s">
        <v>140</v>
      </c>
      <c r="L147" s="248" t="s">
        <v>141</v>
      </c>
      <c r="M147" s="248" t="s">
        <v>142</v>
      </c>
      <c r="N147" s="248" t="s">
        <v>143</v>
      </c>
      <c r="O147" s="248" t="s">
        <v>144</v>
      </c>
      <c r="P147" s="248" t="s">
        <v>145</v>
      </c>
    </row>
    <row r="148" spans="9:18">
      <c r="I148" s="774" t="s">
        <v>138</v>
      </c>
      <c r="J148" s="775"/>
      <c r="K148" s="179">
        <f>1*(K120*$J$145)+K120</f>
        <v>1000.3725534672</v>
      </c>
      <c r="L148" s="212">
        <f t="shared" ref="L148:M168" si="26">ROUND((1*(L120*$J$145)+L120),2)</f>
        <v>37.200000000000003</v>
      </c>
      <c r="M148" s="212">
        <f t="shared" si="26"/>
        <v>124</v>
      </c>
      <c r="N148" s="203">
        <f>K148*$N$6</f>
        <v>2000.7451069343999</v>
      </c>
      <c r="O148" s="203">
        <f>K148</f>
        <v>1000.3725534672</v>
      </c>
      <c r="P148" s="212">
        <f>ROUND((1*(P120*$J$145)+P120),2)</f>
        <v>482.32</v>
      </c>
    </row>
    <row r="149" spans="9:18">
      <c r="I149" s="767" t="s">
        <v>125</v>
      </c>
      <c r="J149" s="768"/>
      <c r="K149" s="182">
        <f t="shared" ref="K149:K168" si="27">1*(K121*$J$145)+K121</f>
        <v>1206.7515098712001</v>
      </c>
      <c r="L149" s="213">
        <f t="shared" si="26"/>
        <v>37.200000000000003</v>
      </c>
      <c r="M149" s="8">
        <f t="shared" si="26"/>
        <v>124</v>
      </c>
      <c r="N149" s="204">
        <f t="shared" ref="N149:N168" si="28">K149*$N$6</f>
        <v>2413.5030197424003</v>
      </c>
      <c r="O149" s="204">
        <f t="shared" ref="O149:O168" si="29">K149</f>
        <v>1206.7515098712001</v>
      </c>
      <c r="P149" s="204">
        <f t="shared" ref="P149:P168" si="30">ROUND((1*(P121*$J$145)+P121),2)</f>
        <v>482.32</v>
      </c>
    </row>
    <row r="150" spans="9:18">
      <c r="I150" s="774" t="s">
        <v>126</v>
      </c>
      <c r="J150" s="775"/>
      <c r="K150" s="185">
        <f t="shared" si="27"/>
        <v>1275.8088776256</v>
      </c>
      <c r="L150" s="212">
        <f t="shared" si="26"/>
        <v>37.200000000000003</v>
      </c>
      <c r="M150" s="30">
        <f t="shared" si="26"/>
        <v>124</v>
      </c>
      <c r="N150" s="203">
        <f t="shared" si="28"/>
        <v>2551.6177552511999</v>
      </c>
      <c r="O150" s="203">
        <f t="shared" si="29"/>
        <v>1275.8088776256</v>
      </c>
      <c r="P150" s="203">
        <f t="shared" si="30"/>
        <v>482.32</v>
      </c>
    </row>
    <row r="151" spans="9:18">
      <c r="I151" s="767" t="s">
        <v>146</v>
      </c>
      <c r="J151" s="768"/>
      <c r="K151" s="182">
        <f t="shared" si="27"/>
        <v>1275.8303140272001</v>
      </c>
      <c r="L151" s="213">
        <f t="shared" si="26"/>
        <v>37.200000000000003</v>
      </c>
      <c r="M151" s="8">
        <f t="shared" si="26"/>
        <v>124</v>
      </c>
      <c r="N151" s="204">
        <f t="shared" si="28"/>
        <v>2551.6606280544001</v>
      </c>
      <c r="O151" s="204">
        <f t="shared" si="29"/>
        <v>1275.8303140272001</v>
      </c>
      <c r="P151" s="204">
        <f t="shared" si="30"/>
        <v>482.32</v>
      </c>
    </row>
    <row r="152" spans="9:18">
      <c r="I152" s="774" t="s">
        <v>147</v>
      </c>
      <c r="J152" s="775"/>
      <c r="K152" s="185">
        <f t="shared" si="27"/>
        <v>1322.6259787200001</v>
      </c>
      <c r="L152" s="212">
        <f t="shared" si="26"/>
        <v>37.200000000000003</v>
      </c>
      <c r="M152" s="30">
        <f t="shared" si="26"/>
        <v>124</v>
      </c>
      <c r="N152" s="203">
        <f t="shared" si="28"/>
        <v>2645.2519574400003</v>
      </c>
      <c r="O152" s="203">
        <f t="shared" si="29"/>
        <v>1322.6259787200001</v>
      </c>
      <c r="P152" s="203">
        <f t="shared" si="30"/>
        <v>482.32</v>
      </c>
    </row>
    <row r="153" spans="9:18">
      <c r="I153" s="767" t="s">
        <v>127</v>
      </c>
      <c r="J153" s="768"/>
      <c r="K153" s="182">
        <f t="shared" si="27"/>
        <v>1329.6464002439998</v>
      </c>
      <c r="L153" s="213">
        <f t="shared" si="26"/>
        <v>37.200000000000003</v>
      </c>
      <c r="M153" s="8">
        <f t="shared" si="26"/>
        <v>124</v>
      </c>
      <c r="N153" s="204">
        <f t="shared" si="28"/>
        <v>2659.2928004879996</v>
      </c>
      <c r="O153" s="204">
        <f t="shared" si="29"/>
        <v>1329.6464002439998</v>
      </c>
      <c r="P153" s="204">
        <f t="shared" si="30"/>
        <v>482.32</v>
      </c>
    </row>
    <row r="154" spans="9:18">
      <c r="I154" s="774" t="s">
        <v>148</v>
      </c>
      <c r="J154" s="775"/>
      <c r="K154" s="185">
        <f t="shared" si="27"/>
        <v>1398.7037679984001</v>
      </c>
      <c r="L154" s="212">
        <f t="shared" si="26"/>
        <v>37.200000000000003</v>
      </c>
      <c r="M154" s="30">
        <f t="shared" si="26"/>
        <v>124</v>
      </c>
      <c r="N154" s="203">
        <f t="shared" si="28"/>
        <v>2797.4075359968001</v>
      </c>
      <c r="O154" s="203">
        <f t="shared" si="29"/>
        <v>1398.7037679984001</v>
      </c>
      <c r="P154" s="203">
        <f t="shared" si="30"/>
        <v>482.32</v>
      </c>
    </row>
    <row r="155" spans="9:18">
      <c r="I155" s="767" t="s">
        <v>149</v>
      </c>
      <c r="J155" s="768"/>
      <c r="K155" s="182">
        <f t="shared" si="27"/>
        <v>1398.7037679984001</v>
      </c>
      <c r="L155" s="213">
        <f t="shared" si="26"/>
        <v>37.200000000000003</v>
      </c>
      <c r="M155" s="8">
        <f t="shared" si="26"/>
        <v>124</v>
      </c>
      <c r="N155" s="204">
        <f t="shared" si="28"/>
        <v>2797.4075359968001</v>
      </c>
      <c r="O155" s="204">
        <f t="shared" si="29"/>
        <v>1398.7037679984001</v>
      </c>
      <c r="P155" s="204">
        <f t="shared" si="30"/>
        <v>482.32</v>
      </c>
    </row>
    <row r="156" spans="9:18">
      <c r="I156" s="774" t="s">
        <v>150</v>
      </c>
      <c r="J156" s="775"/>
      <c r="K156" s="185">
        <f t="shared" si="27"/>
        <v>1461.9304345176001</v>
      </c>
      <c r="L156" s="212">
        <f t="shared" si="26"/>
        <v>37.200000000000003</v>
      </c>
      <c r="M156" s="30">
        <f t="shared" si="26"/>
        <v>124</v>
      </c>
      <c r="N156" s="203">
        <f t="shared" si="28"/>
        <v>2923.8608690352003</v>
      </c>
      <c r="O156" s="203">
        <f t="shared" si="29"/>
        <v>1461.9304345176001</v>
      </c>
      <c r="P156" s="203">
        <f t="shared" si="30"/>
        <v>482.32</v>
      </c>
    </row>
    <row r="157" spans="9:18">
      <c r="I157" s="767" t="s">
        <v>151</v>
      </c>
      <c r="J157" s="768"/>
      <c r="K157" s="188">
        <f t="shared" si="27"/>
        <v>1461.9304345176001</v>
      </c>
      <c r="L157" s="213">
        <f t="shared" si="26"/>
        <v>37.200000000000003</v>
      </c>
      <c r="M157" s="8">
        <f t="shared" si="26"/>
        <v>124</v>
      </c>
      <c r="N157" s="204">
        <f t="shared" si="28"/>
        <v>2923.8608690352003</v>
      </c>
      <c r="O157" s="204">
        <f t="shared" si="29"/>
        <v>1461.9304345176001</v>
      </c>
      <c r="P157" s="204">
        <f t="shared" si="30"/>
        <v>482.32</v>
      </c>
    </row>
    <row r="158" spans="9:18">
      <c r="I158" s="774" t="s">
        <v>153</v>
      </c>
      <c r="J158" s="775"/>
      <c r="K158" s="179">
        <f t="shared" si="27"/>
        <v>1000.3725534672</v>
      </c>
      <c r="L158" s="212">
        <f t="shared" si="26"/>
        <v>37.200000000000003</v>
      </c>
      <c r="M158" s="30">
        <f t="shared" si="26"/>
        <v>124</v>
      </c>
      <c r="N158" s="203">
        <f t="shared" si="28"/>
        <v>2000.7451069343999</v>
      </c>
      <c r="O158" s="203">
        <f t="shared" si="29"/>
        <v>1000.3725534672</v>
      </c>
      <c r="P158" s="203">
        <f t="shared" si="30"/>
        <v>482.32</v>
      </c>
    </row>
    <row r="159" spans="9:18">
      <c r="I159" s="767" t="s">
        <v>154</v>
      </c>
      <c r="J159" s="768"/>
      <c r="K159" s="182">
        <f t="shared" si="27"/>
        <v>1000.3725534672</v>
      </c>
      <c r="L159" s="213">
        <f t="shared" si="26"/>
        <v>37.200000000000003</v>
      </c>
      <c r="M159" s="8">
        <f t="shared" si="26"/>
        <v>124</v>
      </c>
      <c r="N159" s="204">
        <f t="shared" si="28"/>
        <v>2000.7451069343999</v>
      </c>
      <c r="O159" s="204">
        <f t="shared" si="29"/>
        <v>1000.3725534672</v>
      </c>
      <c r="P159" s="204">
        <f t="shared" si="30"/>
        <v>482.32</v>
      </c>
    </row>
    <row r="160" spans="9:18">
      <c r="I160" s="774" t="s">
        <v>155</v>
      </c>
      <c r="J160" s="775"/>
      <c r="K160" s="185">
        <f t="shared" si="27"/>
        <v>1334.3409721944004</v>
      </c>
      <c r="L160" s="212">
        <f t="shared" si="26"/>
        <v>37.200000000000003</v>
      </c>
      <c r="M160" s="30">
        <f t="shared" si="26"/>
        <v>124</v>
      </c>
      <c r="N160" s="203">
        <f t="shared" si="28"/>
        <v>2668.6819443888007</v>
      </c>
      <c r="O160" s="203">
        <f t="shared" si="29"/>
        <v>1334.3409721944004</v>
      </c>
      <c r="P160" s="203">
        <f t="shared" si="30"/>
        <v>482.32</v>
      </c>
    </row>
    <row r="161" spans="2:19">
      <c r="I161" s="767" t="s">
        <v>131</v>
      </c>
      <c r="J161" s="768"/>
      <c r="K161" s="182">
        <f t="shared" si="27"/>
        <v>1393.205330988</v>
      </c>
      <c r="L161" s="213">
        <f t="shared" si="26"/>
        <v>37.200000000000003</v>
      </c>
      <c r="M161" s="8">
        <f t="shared" si="26"/>
        <v>124</v>
      </c>
      <c r="N161" s="204">
        <f t="shared" si="28"/>
        <v>2786.410661976</v>
      </c>
      <c r="O161" s="204">
        <f t="shared" si="29"/>
        <v>1393.205330988</v>
      </c>
      <c r="P161" s="204">
        <f t="shared" si="30"/>
        <v>482.32</v>
      </c>
    </row>
    <row r="162" spans="2:19" ht="12.75" customHeight="1">
      <c r="I162" s="774" t="s">
        <v>156</v>
      </c>
      <c r="J162" s="775"/>
      <c r="K162" s="185">
        <f t="shared" si="27"/>
        <v>1499.3691099120001</v>
      </c>
      <c r="L162" s="212">
        <f t="shared" si="26"/>
        <v>37.200000000000003</v>
      </c>
      <c r="M162" s="30">
        <f t="shared" si="26"/>
        <v>124</v>
      </c>
      <c r="N162" s="203">
        <f t="shared" si="28"/>
        <v>2998.7382198240002</v>
      </c>
      <c r="O162" s="203">
        <f t="shared" si="29"/>
        <v>1499.3691099120001</v>
      </c>
      <c r="P162" s="203">
        <f t="shared" si="30"/>
        <v>482.32</v>
      </c>
    </row>
    <row r="163" spans="2:19">
      <c r="I163" s="767" t="s">
        <v>157</v>
      </c>
      <c r="J163" s="768"/>
      <c r="K163" s="182">
        <f t="shared" si="27"/>
        <v>1594.1715959879998</v>
      </c>
      <c r="L163" s="213">
        <f t="shared" si="26"/>
        <v>37.200000000000003</v>
      </c>
      <c r="M163" s="8">
        <f t="shared" si="26"/>
        <v>124</v>
      </c>
      <c r="N163" s="204">
        <f t="shared" si="28"/>
        <v>3188.3431919759996</v>
      </c>
      <c r="O163" s="204">
        <f t="shared" si="29"/>
        <v>1594.1715959879998</v>
      </c>
      <c r="P163" s="204">
        <f t="shared" si="30"/>
        <v>482.32</v>
      </c>
    </row>
    <row r="164" spans="2:19" s="174" customFormat="1" ht="18.75" customHeight="1">
      <c r="B164" s="12"/>
      <c r="C164" s="12"/>
      <c r="D164" s="12"/>
      <c r="E164" s="12"/>
      <c r="F164" s="12"/>
      <c r="G164" s="12"/>
      <c r="I164" s="774" t="s">
        <v>159</v>
      </c>
      <c r="J164" s="775"/>
      <c r="K164" s="179">
        <f t="shared" si="27"/>
        <v>1790.421852636</v>
      </c>
      <c r="L164" s="212">
        <f t="shared" si="26"/>
        <v>37.200000000000003</v>
      </c>
      <c r="M164" s="30">
        <f t="shared" si="26"/>
        <v>124</v>
      </c>
      <c r="N164" s="203">
        <f t="shared" si="28"/>
        <v>3580.8437052720001</v>
      </c>
      <c r="O164" s="203">
        <f t="shared" si="29"/>
        <v>1790.421852636</v>
      </c>
      <c r="P164" s="203">
        <f t="shared" si="30"/>
        <v>482.32</v>
      </c>
      <c r="Q164" s="14"/>
      <c r="R164" s="12"/>
      <c r="S164" s="12"/>
    </row>
    <row r="165" spans="2:19">
      <c r="I165" s="767" t="s">
        <v>160</v>
      </c>
      <c r="J165" s="768"/>
      <c r="K165" s="182">
        <f t="shared" si="27"/>
        <v>1603.5821762904002</v>
      </c>
      <c r="L165" s="213">
        <f t="shared" si="26"/>
        <v>37.200000000000003</v>
      </c>
      <c r="M165" s="8">
        <f t="shared" si="26"/>
        <v>124</v>
      </c>
      <c r="N165" s="204">
        <f t="shared" si="28"/>
        <v>3207.1643525808004</v>
      </c>
      <c r="O165" s="204">
        <f t="shared" si="29"/>
        <v>1603.5821762904002</v>
      </c>
      <c r="P165" s="204">
        <f t="shared" si="30"/>
        <v>482.32</v>
      </c>
    </row>
    <row r="166" spans="2:19">
      <c r="I166" s="774" t="s">
        <v>161</v>
      </c>
      <c r="J166" s="775"/>
      <c r="K166" s="185">
        <f t="shared" si="27"/>
        <v>1744.3978984007997</v>
      </c>
      <c r="L166" s="212">
        <f t="shared" si="26"/>
        <v>37.200000000000003</v>
      </c>
      <c r="M166" s="30">
        <f t="shared" si="26"/>
        <v>124</v>
      </c>
      <c r="N166" s="203">
        <f t="shared" si="28"/>
        <v>3488.7957968015994</v>
      </c>
      <c r="O166" s="203">
        <f t="shared" si="29"/>
        <v>1744.3978984007997</v>
      </c>
      <c r="P166" s="203">
        <f t="shared" si="30"/>
        <v>482.32</v>
      </c>
    </row>
    <row r="167" spans="2:19">
      <c r="I167" s="767" t="s">
        <v>162</v>
      </c>
      <c r="J167" s="768"/>
      <c r="K167" s="182">
        <f t="shared" si="27"/>
        <v>1872.73763478</v>
      </c>
      <c r="L167" s="213">
        <f t="shared" si="26"/>
        <v>37.200000000000003</v>
      </c>
      <c r="M167" s="8">
        <f t="shared" si="26"/>
        <v>124</v>
      </c>
      <c r="N167" s="204">
        <f t="shared" si="28"/>
        <v>3745.47526956</v>
      </c>
      <c r="O167" s="204">
        <f t="shared" si="29"/>
        <v>1872.73763478</v>
      </c>
      <c r="P167" s="204">
        <f t="shared" si="30"/>
        <v>482.32</v>
      </c>
      <c r="S167" s="174"/>
    </row>
    <row r="168" spans="2:19">
      <c r="I168" s="774" t="s">
        <v>163</v>
      </c>
      <c r="J168" s="775"/>
      <c r="K168" s="191">
        <f t="shared" si="27"/>
        <v>2141.9359660728005</v>
      </c>
      <c r="L168" s="212">
        <f t="shared" si="26"/>
        <v>37.200000000000003</v>
      </c>
      <c r="M168" s="30">
        <f t="shared" si="26"/>
        <v>124</v>
      </c>
      <c r="N168" s="203">
        <f t="shared" si="28"/>
        <v>4283.871932145601</v>
      </c>
      <c r="O168" s="203">
        <f t="shared" si="29"/>
        <v>2141.9359660728005</v>
      </c>
      <c r="P168" s="203">
        <f t="shared" si="30"/>
        <v>482.32</v>
      </c>
    </row>
    <row r="190" spans="9:17">
      <c r="I190" s="12"/>
      <c r="J190" s="12"/>
      <c r="K190" s="200"/>
      <c r="M190" s="14"/>
      <c r="N190" s="200"/>
      <c r="O190" s="200"/>
      <c r="P190" s="200"/>
      <c r="Q190" s="200"/>
    </row>
  </sheetData>
  <mergeCells count="176">
    <mergeCell ref="I163:J163"/>
    <mergeCell ref="I164:J164"/>
    <mergeCell ref="I165:J165"/>
    <mergeCell ref="I166:J166"/>
    <mergeCell ref="I167:J167"/>
    <mergeCell ref="I168:J168"/>
    <mergeCell ref="I157:J157"/>
    <mergeCell ref="I158:J158"/>
    <mergeCell ref="I159:J159"/>
    <mergeCell ref="I160:J160"/>
    <mergeCell ref="I161:J161"/>
    <mergeCell ref="I162:J162"/>
    <mergeCell ref="B16:B21"/>
    <mergeCell ref="B22:B26"/>
    <mergeCell ref="I154:J154"/>
    <mergeCell ref="I155:J155"/>
    <mergeCell ref="I156:J156"/>
    <mergeCell ref="I140:J140"/>
    <mergeCell ref="I143:Q143"/>
    <mergeCell ref="I147:J147"/>
    <mergeCell ref="I148:J148"/>
    <mergeCell ref="I149:J149"/>
    <mergeCell ref="I150:J150"/>
    <mergeCell ref="I151:J151"/>
    <mergeCell ref="I152:J152"/>
    <mergeCell ref="I153:J153"/>
    <mergeCell ref="I131:J131"/>
    <mergeCell ref="I132:J132"/>
    <mergeCell ref="I133:J133"/>
    <mergeCell ref="I134:J134"/>
    <mergeCell ref="I135:J135"/>
    <mergeCell ref="I136:J136"/>
    <mergeCell ref="I137:J137"/>
    <mergeCell ref="I138:J138"/>
    <mergeCell ref="I139:J139"/>
    <mergeCell ref="I122:J122"/>
    <mergeCell ref="I123:J123"/>
    <mergeCell ref="I124:J124"/>
    <mergeCell ref="I125:J125"/>
    <mergeCell ref="I126:J126"/>
    <mergeCell ref="I127:J127"/>
    <mergeCell ref="I128:J128"/>
    <mergeCell ref="I129:J129"/>
    <mergeCell ref="I130:J130"/>
    <mergeCell ref="I108:J108"/>
    <mergeCell ref="I109:J109"/>
    <mergeCell ref="I110:J110"/>
    <mergeCell ref="I111:J111"/>
    <mergeCell ref="I112:J112"/>
    <mergeCell ref="I115:Q115"/>
    <mergeCell ref="I119:J119"/>
    <mergeCell ref="I120:J120"/>
    <mergeCell ref="I121:J121"/>
    <mergeCell ref="I99:J99"/>
    <mergeCell ref="I100:J100"/>
    <mergeCell ref="I101:J101"/>
    <mergeCell ref="I102:J102"/>
    <mergeCell ref="I103:J103"/>
    <mergeCell ref="I104:J104"/>
    <mergeCell ref="I105:J105"/>
    <mergeCell ref="I106:J106"/>
    <mergeCell ref="I107:J107"/>
    <mergeCell ref="I91:J91"/>
    <mergeCell ref="I92:J92"/>
    <mergeCell ref="I93:J93"/>
    <mergeCell ref="B94:F94"/>
    <mergeCell ref="I94:J94"/>
    <mergeCell ref="I95:J95"/>
    <mergeCell ref="I96:J96"/>
    <mergeCell ref="I97:J97"/>
    <mergeCell ref="I98:J98"/>
    <mergeCell ref="I83:J83"/>
    <mergeCell ref="I84:J84"/>
    <mergeCell ref="B87:F87"/>
    <mergeCell ref="I87:Q87"/>
    <mergeCell ref="I71:J71"/>
    <mergeCell ref="I72:J72"/>
    <mergeCell ref="B73:F73"/>
    <mergeCell ref="I73:J73"/>
    <mergeCell ref="I74:J74"/>
    <mergeCell ref="I75:J75"/>
    <mergeCell ref="I78:J78"/>
    <mergeCell ref="I79:J79"/>
    <mergeCell ref="I80:J80"/>
    <mergeCell ref="I81:J81"/>
    <mergeCell ref="B82:F82"/>
    <mergeCell ref="I82:J82"/>
    <mergeCell ref="B76:F76"/>
    <mergeCell ref="I76:J76"/>
    <mergeCell ref="I77:J77"/>
    <mergeCell ref="I59:Q59"/>
    <mergeCell ref="I63:J63"/>
    <mergeCell ref="I64:J64"/>
    <mergeCell ref="I65:J65"/>
    <mergeCell ref="I66:J66"/>
    <mergeCell ref="I67:J67"/>
    <mergeCell ref="I68:J68"/>
    <mergeCell ref="I69:J69"/>
    <mergeCell ref="I70:J70"/>
    <mergeCell ref="B29:F29"/>
    <mergeCell ref="B30:F30"/>
    <mergeCell ref="I32:Q32"/>
    <mergeCell ref="I35:J35"/>
    <mergeCell ref="I36:J36"/>
    <mergeCell ref="I37:J37"/>
    <mergeCell ref="I38:J38"/>
    <mergeCell ref="I39:J39"/>
    <mergeCell ref="I40:J40"/>
    <mergeCell ref="I26:J26"/>
    <mergeCell ref="T26:U26"/>
    <mergeCell ref="I27:J27"/>
    <mergeCell ref="T27:U27"/>
    <mergeCell ref="I28:J28"/>
    <mergeCell ref="T28:U28"/>
    <mergeCell ref="B58:F58"/>
    <mergeCell ref="I41:J41"/>
    <mergeCell ref="I42:J42"/>
    <mergeCell ref="I43:J43"/>
    <mergeCell ref="B44:F44"/>
    <mergeCell ref="I44:J44"/>
    <mergeCell ref="I45:J45"/>
    <mergeCell ref="I46:J46"/>
    <mergeCell ref="I47:J47"/>
    <mergeCell ref="I48:J48"/>
    <mergeCell ref="I49:J49"/>
    <mergeCell ref="I50:J50"/>
    <mergeCell ref="I51:J51"/>
    <mergeCell ref="I52:J52"/>
    <mergeCell ref="I53:J53"/>
    <mergeCell ref="I54:J54"/>
    <mergeCell ref="I55:J55"/>
    <mergeCell ref="I56:J56"/>
    <mergeCell ref="I21:J21"/>
    <mergeCell ref="T21:U21"/>
    <mergeCell ref="I22:J22"/>
    <mergeCell ref="T22:U22"/>
    <mergeCell ref="I23:J23"/>
    <mergeCell ref="T23:U23"/>
    <mergeCell ref="I24:J24"/>
    <mergeCell ref="T24:U24"/>
    <mergeCell ref="I25:J25"/>
    <mergeCell ref="T25:U25"/>
    <mergeCell ref="I16:J16"/>
    <mergeCell ref="T16:U16"/>
    <mergeCell ref="I17:J17"/>
    <mergeCell ref="T17:U17"/>
    <mergeCell ref="I18:J18"/>
    <mergeCell ref="T18:U18"/>
    <mergeCell ref="I19:J19"/>
    <mergeCell ref="T19:U19"/>
    <mergeCell ref="I20:J20"/>
    <mergeCell ref="T20:U20"/>
    <mergeCell ref="I13:J13"/>
    <mergeCell ref="T13:U13"/>
    <mergeCell ref="B2:G2"/>
    <mergeCell ref="I2:AC2"/>
    <mergeCell ref="B4:G4"/>
    <mergeCell ref="I4:R4"/>
    <mergeCell ref="T4:AC4"/>
    <mergeCell ref="I7:J7"/>
    <mergeCell ref="T7:U7"/>
    <mergeCell ref="I9:J9"/>
    <mergeCell ref="T9:U9"/>
    <mergeCell ref="I10:J10"/>
    <mergeCell ref="T10:U10"/>
    <mergeCell ref="I11:J11"/>
    <mergeCell ref="T11:U11"/>
    <mergeCell ref="I12:J12"/>
    <mergeCell ref="I8:J8"/>
    <mergeCell ref="T8:U8"/>
    <mergeCell ref="T12:U12"/>
    <mergeCell ref="B6:B15"/>
    <mergeCell ref="I14:J14"/>
    <mergeCell ref="T14:U14"/>
    <mergeCell ref="I15:J15"/>
    <mergeCell ref="T15:U15"/>
  </mergeCells>
  <printOptions horizontalCentered="1" verticalCentered="1"/>
  <pageMargins left="0.78740157480314998" right="0.78740157480314998" top="0.98425196850393704" bottom="0.98425196850393704" header="0" footer="0"/>
  <pageSetup paperSize="8" scale="43" orientation="portrait" horizontalDpi="300" verticalDpi="300" r:id="rId1"/>
  <headerFooter alignWithMargins="0"/>
  <colBreaks count="1" manualBreakCount="1">
    <brk id="7" max="168"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4B731B1EA34DB1E799E12226F2A0" ma:contentTypeVersion="18" ma:contentTypeDescription="Crear nuevo documento." ma:contentTypeScope="" ma:versionID="bb325bafcde2839f43bf97d2a7cdbf75">
  <xsd:schema xmlns:xsd="http://www.w3.org/2001/XMLSchema" xmlns:xs="http://www.w3.org/2001/XMLSchema" xmlns:p="http://schemas.microsoft.com/office/2006/metadata/properties" xmlns:ns3="f626d1c7-ec7e-4e8a-bf91-9eb5dc6cc8d8" xmlns:ns4="6f47e3f0-9ba5-45dc-85d5-870d668f8675" targetNamespace="http://schemas.microsoft.com/office/2006/metadata/properties" ma:root="true" ma:fieldsID="8579ed300ee20e56583573545ca1a443" ns3:_="" ns4:_="">
    <xsd:import namespace="f626d1c7-ec7e-4e8a-bf91-9eb5dc6cc8d8"/>
    <xsd:import namespace="6f47e3f0-9ba5-45dc-85d5-870d668f867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_activity" minOccurs="0"/>
                <xsd:element ref="ns3:MediaServiceObjectDetectorVersions" minOccurs="0"/>
                <xsd:element ref="ns3:MediaLengthInSecond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26d1c7-ec7e-4e8a-bf91-9eb5dc6cc8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47e3f0-9ba5-45dc-85d5-870d668f867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626d1c7-ec7e-4e8a-bf91-9eb5dc6cc8d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1A4EF0-AF85-4BFD-ADAB-BB2421B42B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26d1c7-ec7e-4e8a-bf91-9eb5dc6cc8d8"/>
    <ds:schemaRef ds:uri="6f47e3f0-9ba5-45dc-85d5-870d668f86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5A2FF2-0AED-42D0-80D3-78EB9A064513}">
  <ds:schemaRefs>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6f47e3f0-9ba5-45dc-85d5-870d668f8675"/>
    <ds:schemaRef ds:uri="http://purl.org/dc/elements/1.1/"/>
    <ds:schemaRef ds:uri="http://purl.org/dc/dcmitype/"/>
    <ds:schemaRef ds:uri="f626d1c7-ec7e-4e8a-bf91-9eb5dc6cc8d8"/>
    <ds:schemaRef ds:uri="http://www.w3.org/XML/1998/namespace"/>
    <ds:schemaRef ds:uri="http://purl.org/dc/terms/"/>
  </ds:schemaRefs>
</ds:datastoreItem>
</file>

<file path=customXml/itemProps3.xml><?xml version="1.0" encoding="utf-8"?>
<ds:datastoreItem xmlns:ds="http://schemas.openxmlformats.org/officeDocument/2006/customXml" ds:itemID="{7E0D1F99-2B6F-4FAF-AA5A-66D792E554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32</vt:i4>
      </vt:variant>
      <vt:variant>
        <vt:lpstr>Rangos con nombre</vt:lpstr>
      </vt:variant>
      <vt:variant>
        <vt:i4>36</vt:i4>
      </vt:variant>
    </vt:vector>
  </HeadingPairs>
  <TitlesOfParts>
    <vt:vector size="68" baseType="lpstr">
      <vt:lpstr>Presentación</vt:lpstr>
      <vt:lpstr>PeriodoAmortizacion </vt:lpstr>
      <vt:lpstr>FlujoGastos</vt:lpstr>
      <vt:lpstr>EstructuraCostesAnualidad_1</vt:lpstr>
      <vt:lpstr>PresupuestoBaseLicitación</vt:lpstr>
      <vt:lpstr>CanonAnual</vt:lpstr>
      <vt:lpstr>Trabajos Medición-Suministro</vt:lpstr>
      <vt:lpstr>A. Resumen Costes Personal</vt:lpstr>
      <vt:lpstr>A.0_Tablas salariales SC</vt:lpstr>
      <vt:lpstr>A.1_Tabla Costes Subrogación</vt:lpstr>
      <vt:lpstr>A.1.0_TablaAntigüedad_Sub</vt:lpstr>
      <vt:lpstr>A.2_Tabla Costes Nueva Contr</vt:lpstr>
      <vt:lpstr>A.2.0_TablaAntigüedad_NuevContr</vt:lpstr>
      <vt:lpstr>B. Resumen Costes Veh_Maq</vt:lpstr>
      <vt:lpstr>B.0.ConsumiblesMaquinaria</vt:lpstr>
      <vt:lpstr>B.1.Vehículos</vt:lpstr>
      <vt:lpstr>DescripcionVehículos</vt:lpstr>
      <vt:lpstr>B.2.Maquinaria</vt:lpstr>
      <vt:lpstr>C. Resumen Costes Vest_Util_Her</vt:lpstr>
      <vt:lpstr>C.1.1.Vestuario_Equip</vt:lpstr>
      <vt:lpstr>C.1.2.PRL</vt:lpstr>
      <vt:lpstr>C.2. Herramientas</vt:lpstr>
      <vt:lpstr>D. Resumen Costes Locales e ins</vt:lpstr>
      <vt:lpstr>D.1_2_Locales_Inst</vt:lpstr>
      <vt:lpstr>E. Resumen Costes Materiales </vt:lpstr>
      <vt:lpstr>E.1. Mat_Primas</vt:lpstr>
      <vt:lpstr>E.2. Productos Fitosanitarios</vt:lpstr>
      <vt:lpstr>F. Resumen Otros Costes</vt:lpstr>
      <vt:lpstr>F.1. Eq_Tecno_Soft</vt:lpstr>
      <vt:lpstr>F.2 Inventario</vt:lpstr>
      <vt:lpstr>F.3 ServiciosProfesionales</vt:lpstr>
      <vt:lpstr>F.4 Otros Costes</vt:lpstr>
      <vt:lpstr>'A. Resumen Costes Personal'!Área_de_impresión</vt:lpstr>
      <vt:lpstr>'A.0_Tablas salariales SC'!Área_de_impresión</vt:lpstr>
      <vt:lpstr>A.1.0_TablaAntigüedad_Sub!Área_de_impresión</vt:lpstr>
      <vt:lpstr>'A.1_Tabla Costes Subrogación'!Área_de_impresión</vt:lpstr>
      <vt:lpstr>A.2.0_TablaAntigüedad_NuevContr!Área_de_impresión</vt:lpstr>
      <vt:lpstr>'A.2_Tabla Costes Nueva Contr'!Área_de_impresión</vt:lpstr>
      <vt:lpstr>'B. Resumen Costes Veh_Maq'!Área_de_impresión</vt:lpstr>
      <vt:lpstr>B.0.ConsumiblesMaquinaria!Área_de_impresión</vt:lpstr>
      <vt:lpstr>B.1.Vehículos!Área_de_impresión</vt:lpstr>
      <vt:lpstr>B.2.Maquinaria!Área_de_impresión</vt:lpstr>
      <vt:lpstr>'C. Resumen Costes Vest_Util_Her'!Área_de_impresión</vt:lpstr>
      <vt:lpstr>C.1.1.Vestuario_Equip!Área_de_impresión</vt:lpstr>
      <vt:lpstr>C.1.2.PRL!Área_de_impresión</vt:lpstr>
      <vt:lpstr>'C.2. Herramientas'!Área_de_impresión</vt:lpstr>
      <vt:lpstr>CanonAnual!Área_de_impresión</vt:lpstr>
      <vt:lpstr>'D. Resumen Costes Locales e ins'!Área_de_impresión</vt:lpstr>
      <vt:lpstr>D.1_2_Locales_Inst!Área_de_impresión</vt:lpstr>
      <vt:lpstr>'E. Resumen Costes Materiales '!Área_de_impresión</vt:lpstr>
      <vt:lpstr>'E.1. Mat_Primas'!Área_de_impresión</vt:lpstr>
      <vt:lpstr>'E.2. Productos Fitosanitarios'!Área_de_impresión</vt:lpstr>
      <vt:lpstr>EstructuraCostesAnualidad_1!Área_de_impresión</vt:lpstr>
      <vt:lpstr>'F. Resumen Otros Costes'!Área_de_impresión</vt:lpstr>
      <vt:lpstr>'F.1. Eq_Tecno_Soft'!Área_de_impresión</vt:lpstr>
      <vt:lpstr>'F.2 Inventario'!Área_de_impresión</vt:lpstr>
      <vt:lpstr>'F.3 ServiciosProfesionales'!Área_de_impresión</vt:lpstr>
      <vt:lpstr>'F.4 Otros Costes'!Área_de_impresión</vt:lpstr>
      <vt:lpstr>FlujoGastos!Área_de_impresión</vt:lpstr>
      <vt:lpstr>'PeriodoAmortizacion '!Área_de_impresión</vt:lpstr>
      <vt:lpstr>PresupuestoBaseLicitación!Área_de_impresión</vt:lpstr>
      <vt:lpstr>'Trabajos Medición-Suministro'!Área_de_impresión</vt:lpstr>
      <vt:lpstr>'A.1_Tabla Costes Subrogación'!Títulos_a_imprimir</vt:lpstr>
      <vt:lpstr>'A.2_Tabla Costes Nueva Contr'!Títulos_a_imprimir</vt:lpstr>
      <vt:lpstr>B.1.Vehículos!Títulos_a_imprimir</vt:lpstr>
      <vt:lpstr>B.2.Maquinaria!Títulos_a_imprimir</vt:lpstr>
      <vt:lpstr>'C.2. Herramientas'!Títulos_a_imprimir</vt:lpstr>
      <vt:lpstr>'F.3 ServiciosProfesionales'!Títulos_a_imprimir</vt:lpstr>
    </vt:vector>
  </TitlesOfParts>
  <Manager/>
  <Company>Velasco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mblazquez</dc:creator>
  <cp:keywords/>
  <dc:description/>
  <cp:lastModifiedBy>María Blázquez</cp:lastModifiedBy>
  <cp:revision/>
  <cp:lastPrinted>2023-11-30T16:08:15Z</cp:lastPrinted>
  <dcterms:created xsi:type="dcterms:W3CDTF">2008-02-06T08:29:00Z</dcterms:created>
  <dcterms:modified xsi:type="dcterms:W3CDTF">2025-06-23T15:11:26Z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EEF5E5E76DBC468B8A175709FD60D4C2</vt:lpwstr>
  </property>
  <property fmtid="{D5CDD505-2E9C-101B-9397-08002B2CF9AE}" pid="3" name="KSOProductBuildVer">
    <vt:lpwstr>3082-11.2.0.11513</vt:lpwstr>
  </property>
  <property fmtid="{D5CDD505-2E9C-101B-9397-08002B2CF9AE}" pid="4" name="ContentTypeId">
    <vt:lpwstr>0x01010067644B731B1EA34DB1E799E12226F2A0</vt:lpwstr>
  </property>
  <property fmtid="{D5CDD505-2E9C-101B-9397-08002B2CF9AE}" pid="5" name="_activity">
    <vt:lpwstr/>
  </property>
</Properties>
</file>